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7545" activeTab="3"/>
  </bookViews>
  <sheets>
    <sheet name="AL_FIP" sheetId="1" r:id="rId1"/>
    <sheet name="NL_FIP" sheetId="4" r:id="rId2"/>
    <sheet name="AL_RA" sheetId="5" r:id="rId3"/>
    <sheet name="NL_RA" sheetId="6" r:id="rId4"/>
    <sheet name="League" sheetId="2" r:id="rId5"/>
    <sheet name="BPF" sheetId="3" r:id="rId6"/>
  </sheets>
  <definedNames>
    <definedName name="_xlnm._FilterDatabase" localSheetId="0" hidden="1">AL_FIP!$A$1:$AQ$36</definedName>
    <definedName name="_xlnm._FilterDatabase" localSheetId="2" hidden="1">AL_RA!$A$1:$AQ$36</definedName>
    <definedName name="_xlnm._FilterDatabase" localSheetId="1" hidden="1">NL_FIP!$A$1:$AQ$44</definedName>
    <definedName name="_xlnm._FilterDatabase" localSheetId="3" hidden="1">NL_RA!$A$1:$AQ$44</definedName>
  </definedNames>
  <calcPr calcId="145621"/>
</workbook>
</file>

<file path=xl/calcChain.xml><?xml version="1.0" encoding="utf-8"?>
<calcChain xmlns="http://schemas.openxmlformats.org/spreadsheetml/2006/main">
  <c r="AC7" i="2" l="1"/>
  <c r="AB7" i="2"/>
  <c r="AC4" i="2"/>
  <c r="AB4" i="2"/>
  <c r="AH3" i="6" l="1"/>
  <c r="AH9" i="6"/>
  <c r="AH10" i="6"/>
  <c r="AH6" i="6"/>
  <c r="AH8" i="6"/>
  <c r="AH7" i="6"/>
  <c r="AH2" i="6"/>
  <c r="AH19" i="6"/>
  <c r="AH14" i="6"/>
  <c r="AH20" i="6"/>
  <c r="AH27" i="6"/>
  <c r="AH24" i="6"/>
  <c r="AH4" i="6"/>
  <c r="AH15" i="6"/>
  <c r="AH18" i="6"/>
  <c r="AH21" i="6"/>
  <c r="AH33" i="6"/>
  <c r="AH16" i="6"/>
  <c r="AH41" i="6"/>
  <c r="AH13" i="6"/>
  <c r="AH32" i="6"/>
  <c r="AH12" i="6"/>
  <c r="AH23" i="6"/>
  <c r="AH17" i="6"/>
  <c r="AH25" i="6"/>
  <c r="AH38" i="6"/>
  <c r="AH28" i="6"/>
  <c r="AH37" i="6"/>
  <c r="AH11" i="6"/>
  <c r="AH42" i="6"/>
  <c r="AH36" i="6"/>
  <c r="AH22" i="6"/>
  <c r="AH31" i="6"/>
  <c r="AH30" i="6"/>
  <c r="AH29" i="6"/>
  <c r="AH26" i="6"/>
  <c r="AH34" i="6"/>
  <c r="AH35" i="6"/>
  <c r="AH44" i="6"/>
  <c r="AH43" i="6"/>
  <c r="AH39" i="6"/>
  <c r="AH40" i="6"/>
  <c r="AH5" i="6"/>
  <c r="AD40" i="6"/>
  <c r="AA40" i="6"/>
  <c r="M40" i="6"/>
  <c r="AE40" i="6" s="1"/>
  <c r="AD39" i="6"/>
  <c r="AA39" i="6"/>
  <c r="M39" i="6"/>
  <c r="AE39" i="6" s="1"/>
  <c r="AD43" i="6"/>
  <c r="AA43" i="6"/>
  <c r="M43" i="6"/>
  <c r="AE43" i="6" s="1"/>
  <c r="AD44" i="6"/>
  <c r="AA44" i="6"/>
  <c r="M44" i="6"/>
  <c r="AE44" i="6" s="1"/>
  <c r="AD35" i="6"/>
  <c r="AA35" i="6"/>
  <c r="M35" i="6"/>
  <c r="AE35" i="6" s="1"/>
  <c r="AD34" i="6"/>
  <c r="AA34" i="6"/>
  <c r="M34" i="6"/>
  <c r="AE34" i="6" s="1"/>
  <c r="AD26" i="6"/>
  <c r="AA26" i="6"/>
  <c r="M26" i="6"/>
  <c r="AE26" i="6" s="1"/>
  <c r="AD29" i="6"/>
  <c r="AA29" i="6"/>
  <c r="M29" i="6"/>
  <c r="AE29" i="6" s="1"/>
  <c r="AD30" i="6"/>
  <c r="AA30" i="6"/>
  <c r="M30" i="6"/>
  <c r="AE30" i="6" s="1"/>
  <c r="AD31" i="6"/>
  <c r="AA31" i="6"/>
  <c r="M31" i="6"/>
  <c r="AE31" i="6" s="1"/>
  <c r="AD22" i="6"/>
  <c r="AA22" i="6"/>
  <c r="M22" i="6"/>
  <c r="AE22" i="6" s="1"/>
  <c r="AD36" i="6"/>
  <c r="AA36" i="6"/>
  <c r="M36" i="6"/>
  <c r="AE36" i="6" s="1"/>
  <c r="AD42" i="6"/>
  <c r="AA42" i="6"/>
  <c r="M42" i="6"/>
  <c r="AD11" i="6"/>
  <c r="AA11" i="6"/>
  <c r="M11" i="6"/>
  <c r="AE11" i="6" s="1"/>
  <c r="AD37" i="6"/>
  <c r="AA37" i="6"/>
  <c r="M37" i="6"/>
  <c r="AD28" i="6"/>
  <c r="AA28" i="6"/>
  <c r="M28" i="6"/>
  <c r="AE28" i="6" s="1"/>
  <c r="AD38" i="6"/>
  <c r="AA38" i="6"/>
  <c r="M38" i="6"/>
  <c r="AD25" i="6"/>
  <c r="AA25" i="6"/>
  <c r="M25" i="6"/>
  <c r="AE25" i="6" s="1"/>
  <c r="AD17" i="6"/>
  <c r="AA17" i="6"/>
  <c r="M17" i="6"/>
  <c r="AD23" i="6"/>
  <c r="AA23" i="6"/>
  <c r="M23" i="6"/>
  <c r="AE23" i="6" s="1"/>
  <c r="AD12" i="6"/>
  <c r="AA12" i="6"/>
  <c r="M12" i="6"/>
  <c r="AD32" i="6"/>
  <c r="M32" i="6"/>
  <c r="AE32" i="6" s="1"/>
  <c r="AD13" i="6"/>
  <c r="AA13" i="6"/>
  <c r="M13" i="6"/>
  <c r="AD41" i="6"/>
  <c r="M41" i="6"/>
  <c r="AD16" i="6"/>
  <c r="AA16" i="6"/>
  <c r="M16" i="6"/>
  <c r="AD33" i="6"/>
  <c r="M33" i="6"/>
  <c r="AE33" i="6" s="1"/>
  <c r="AD21" i="6"/>
  <c r="AA21" i="6"/>
  <c r="M21" i="6"/>
  <c r="AD18" i="6"/>
  <c r="AA18" i="6"/>
  <c r="M18" i="6"/>
  <c r="AE18" i="6" s="1"/>
  <c r="AD15" i="6"/>
  <c r="AA15" i="6"/>
  <c r="M15" i="6"/>
  <c r="AD4" i="6"/>
  <c r="AA4" i="6"/>
  <c r="M4" i="6"/>
  <c r="AE4" i="6" s="1"/>
  <c r="AD24" i="6"/>
  <c r="AA24" i="6"/>
  <c r="M24" i="6"/>
  <c r="AD27" i="6"/>
  <c r="AA27" i="6"/>
  <c r="M27" i="6"/>
  <c r="AE27" i="6" s="1"/>
  <c r="AD20" i="6"/>
  <c r="AA20" i="6"/>
  <c r="M20" i="6"/>
  <c r="AD14" i="6"/>
  <c r="AA14" i="6"/>
  <c r="M14" i="6"/>
  <c r="AE14" i="6" s="1"/>
  <c r="AD19" i="6"/>
  <c r="AA19" i="6"/>
  <c r="M19" i="6"/>
  <c r="AD2" i="6"/>
  <c r="AA2" i="6"/>
  <c r="M2" i="6"/>
  <c r="AE2" i="6" s="1"/>
  <c r="AD7" i="6"/>
  <c r="AA7" i="6"/>
  <c r="M7" i="6"/>
  <c r="AD8" i="6"/>
  <c r="AA8" i="6"/>
  <c r="M8" i="6"/>
  <c r="AE8" i="6" s="1"/>
  <c r="AD6" i="6"/>
  <c r="AA6" i="6"/>
  <c r="M6" i="6"/>
  <c r="AD10" i="6"/>
  <c r="AA10" i="6"/>
  <c r="M10" i="6"/>
  <c r="AE10" i="6" s="1"/>
  <c r="AD9" i="6"/>
  <c r="AA9" i="6"/>
  <c r="M9" i="6"/>
  <c r="AD3" i="6"/>
  <c r="AA3" i="6"/>
  <c r="M3" i="6"/>
  <c r="AE3" i="6" s="1"/>
  <c r="AD5" i="6"/>
  <c r="AA5" i="6"/>
  <c r="M5" i="6"/>
  <c r="AE5" i="6" s="1"/>
  <c r="AH20" i="5"/>
  <c r="AD20" i="5"/>
  <c r="AA20" i="5"/>
  <c r="M20" i="5"/>
  <c r="AH34" i="5"/>
  <c r="AD34" i="5"/>
  <c r="AA34" i="5"/>
  <c r="M34" i="5"/>
  <c r="AH18" i="5"/>
  <c r="AD18" i="5"/>
  <c r="AA18" i="5"/>
  <c r="M18" i="5"/>
  <c r="AH25" i="5"/>
  <c r="AD25" i="5"/>
  <c r="AA25" i="5"/>
  <c r="M25" i="5"/>
  <c r="AH7" i="5"/>
  <c r="AD7" i="5"/>
  <c r="AA7" i="5"/>
  <c r="M7" i="5"/>
  <c r="AH27" i="5"/>
  <c r="AD27" i="5"/>
  <c r="AA27" i="5"/>
  <c r="M27" i="5"/>
  <c r="AH28" i="5"/>
  <c r="AD28" i="5"/>
  <c r="AA28" i="5"/>
  <c r="M28" i="5"/>
  <c r="AH23" i="5"/>
  <c r="AD23" i="5"/>
  <c r="AA23" i="5"/>
  <c r="M23" i="5"/>
  <c r="AH17" i="5"/>
  <c r="AD17" i="5"/>
  <c r="M17" i="5"/>
  <c r="AH32" i="5"/>
  <c r="AD32" i="5"/>
  <c r="AA32" i="5"/>
  <c r="M32" i="5"/>
  <c r="AF32" i="5" s="1"/>
  <c r="AH33" i="5"/>
  <c r="AD33" i="5"/>
  <c r="AA33" i="5"/>
  <c r="M33" i="5"/>
  <c r="AF33" i="5" s="1"/>
  <c r="AH21" i="5"/>
  <c r="AD21" i="5"/>
  <c r="AA21" i="5"/>
  <c r="M21" i="5"/>
  <c r="AF21" i="5" s="1"/>
  <c r="AH4" i="5"/>
  <c r="AD4" i="5"/>
  <c r="AA4" i="5"/>
  <c r="M4" i="5"/>
  <c r="AF4" i="5" s="1"/>
  <c r="AH22" i="5"/>
  <c r="AD22" i="5"/>
  <c r="AA22" i="5"/>
  <c r="M22" i="5"/>
  <c r="AH14" i="5"/>
  <c r="AD14" i="5"/>
  <c r="AA14" i="5"/>
  <c r="M14" i="5"/>
  <c r="AH24" i="5"/>
  <c r="AD24" i="5"/>
  <c r="AA24" i="5"/>
  <c r="M24" i="5"/>
  <c r="AH19" i="5"/>
  <c r="AD19" i="5"/>
  <c r="AA19" i="5"/>
  <c r="M19" i="5"/>
  <c r="AH30" i="5"/>
  <c r="AD30" i="5"/>
  <c r="AA30" i="5"/>
  <c r="M30" i="5"/>
  <c r="AH12" i="5"/>
  <c r="AD12" i="5"/>
  <c r="AA12" i="5"/>
  <c r="M12" i="5"/>
  <c r="AH5" i="5"/>
  <c r="AD5" i="5"/>
  <c r="AA5" i="5"/>
  <c r="M5" i="5"/>
  <c r="AH31" i="5"/>
  <c r="AD31" i="5"/>
  <c r="AA31" i="5"/>
  <c r="M31" i="5"/>
  <c r="AH16" i="5"/>
  <c r="AD16" i="5"/>
  <c r="AA16" i="5"/>
  <c r="M16" i="5"/>
  <c r="AH3" i="5"/>
  <c r="AD3" i="5"/>
  <c r="AA3" i="5"/>
  <c r="M3" i="5"/>
  <c r="AH35" i="5"/>
  <c r="AD35" i="5"/>
  <c r="AA35" i="5"/>
  <c r="M35" i="5"/>
  <c r="AH29" i="5"/>
  <c r="AD29" i="5"/>
  <c r="AA29" i="5"/>
  <c r="M29" i="5"/>
  <c r="AH26" i="5"/>
  <c r="AD26" i="5"/>
  <c r="AA26" i="5"/>
  <c r="M26" i="5"/>
  <c r="AH15" i="5"/>
  <c r="AD15" i="5"/>
  <c r="AA15" i="5"/>
  <c r="M15" i="5"/>
  <c r="AH9" i="5"/>
  <c r="AD9" i="5"/>
  <c r="AA9" i="5"/>
  <c r="M9" i="5"/>
  <c r="AH6" i="5"/>
  <c r="AD6" i="5"/>
  <c r="AA6" i="5"/>
  <c r="M6" i="5"/>
  <c r="AH13" i="5"/>
  <c r="AD13" i="5"/>
  <c r="AA13" i="5"/>
  <c r="M13" i="5"/>
  <c r="AH11" i="5"/>
  <c r="AD11" i="5"/>
  <c r="AA11" i="5"/>
  <c r="M11" i="5"/>
  <c r="AH10" i="5"/>
  <c r="AD10" i="5"/>
  <c r="AA10" i="5"/>
  <c r="M10" i="5"/>
  <c r="AH2" i="5"/>
  <c r="AD2" i="5"/>
  <c r="AA2" i="5"/>
  <c r="M2" i="5"/>
  <c r="AH8" i="5"/>
  <c r="AD8" i="5"/>
  <c r="AA8" i="5"/>
  <c r="M8" i="5"/>
  <c r="AH36" i="5"/>
  <c r="AD36" i="5"/>
  <c r="AA36" i="5"/>
  <c r="M36" i="5"/>
  <c r="AH3" i="4"/>
  <c r="AH5" i="4"/>
  <c r="AH4" i="4"/>
  <c r="AH6" i="4"/>
  <c r="AH8" i="4"/>
  <c r="AH7" i="4"/>
  <c r="AH9" i="4"/>
  <c r="AH10" i="4"/>
  <c r="AH11" i="4"/>
  <c r="AH12" i="4"/>
  <c r="AH13" i="4"/>
  <c r="AH14" i="4"/>
  <c r="AH15" i="4"/>
  <c r="AH16" i="4"/>
  <c r="AH17" i="4"/>
  <c r="AH18" i="4"/>
  <c r="AH19" i="4"/>
  <c r="AH21" i="4"/>
  <c r="AH20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2" i="4"/>
  <c r="AH3" i="1"/>
  <c r="AH2" i="1"/>
  <c r="AH17" i="1"/>
  <c r="AH6" i="1"/>
  <c r="AH8" i="1"/>
  <c r="AH14" i="1"/>
  <c r="AH7" i="1"/>
  <c r="AH29" i="1"/>
  <c r="AH18" i="1"/>
  <c r="AH27" i="1"/>
  <c r="AH33" i="1"/>
  <c r="AH4" i="1"/>
  <c r="AH10" i="1"/>
  <c r="AH34" i="1"/>
  <c r="AH13" i="1"/>
  <c r="AH16" i="1"/>
  <c r="AH19" i="1"/>
  <c r="AH21" i="1"/>
  <c r="AH23" i="1"/>
  <c r="AH11" i="1"/>
  <c r="AH22" i="1"/>
  <c r="AH5" i="1"/>
  <c r="AH26" i="1"/>
  <c r="AH36" i="1"/>
  <c r="AH24" i="1"/>
  <c r="AH15" i="1"/>
  <c r="AH31" i="1"/>
  <c r="AH30" i="1"/>
  <c r="AH32" i="1"/>
  <c r="AH9" i="1"/>
  <c r="AH28" i="1"/>
  <c r="AH12" i="1"/>
  <c r="AH25" i="1"/>
  <c r="AH20" i="1"/>
  <c r="AH35" i="1"/>
  <c r="AF36" i="5" l="1"/>
  <c r="AF8" i="5"/>
  <c r="AF2" i="5"/>
  <c r="AF10" i="5"/>
  <c r="AF11" i="5"/>
  <c r="AF13" i="5"/>
  <c r="AF6" i="5"/>
  <c r="AF9" i="5"/>
  <c r="AF15" i="5"/>
  <c r="AF26" i="5"/>
  <c r="AF29" i="5"/>
  <c r="AF35" i="5"/>
  <c r="AF3" i="5"/>
  <c r="AF16" i="5"/>
  <c r="AF31" i="5"/>
  <c r="AF5" i="5"/>
  <c r="AF12" i="5"/>
  <c r="AF30" i="5"/>
  <c r="AF19" i="5"/>
  <c r="AF24" i="5"/>
  <c r="AF14" i="5"/>
  <c r="AF22" i="5"/>
  <c r="AF38" i="6"/>
  <c r="AF37" i="6"/>
  <c r="AF42" i="6"/>
  <c r="AF22" i="6"/>
  <c r="AG22" i="6" s="1"/>
  <c r="AF30" i="6"/>
  <c r="AG30" i="6" s="1"/>
  <c r="AF26" i="6"/>
  <c r="AG26" i="6" s="1"/>
  <c r="AF35" i="6"/>
  <c r="AG35" i="6" s="1"/>
  <c r="AF43" i="6"/>
  <c r="AG43" i="6" s="1"/>
  <c r="AF40" i="6"/>
  <c r="AG40" i="6" s="1"/>
  <c r="AF23" i="5"/>
  <c r="AF28" i="5"/>
  <c r="AF27" i="5"/>
  <c r="AF7" i="5"/>
  <c r="AF25" i="5"/>
  <c r="AF18" i="5"/>
  <c r="AF34" i="5"/>
  <c r="AF20" i="5"/>
  <c r="AF3" i="6"/>
  <c r="AG3" i="6" s="1"/>
  <c r="AF10" i="6"/>
  <c r="AG10" i="6" s="1"/>
  <c r="AF8" i="6"/>
  <c r="AG8" i="6" s="1"/>
  <c r="AF2" i="6"/>
  <c r="AG2" i="6" s="1"/>
  <c r="AF14" i="6"/>
  <c r="AG14" i="6" s="1"/>
  <c r="AF27" i="6"/>
  <c r="AG27" i="6" s="1"/>
  <c r="AF4" i="6"/>
  <c r="AG4" i="6" s="1"/>
  <c r="AF18" i="6"/>
  <c r="AG18" i="6" s="1"/>
  <c r="AF16" i="6"/>
  <c r="AF12" i="6"/>
  <c r="AF17" i="6"/>
  <c r="Z9" i="6"/>
  <c r="AC9" i="6" s="1"/>
  <c r="AE9" i="6"/>
  <c r="Z6" i="6"/>
  <c r="AC6" i="6" s="1"/>
  <c r="AE6" i="6"/>
  <c r="Z7" i="6"/>
  <c r="AE7" i="6"/>
  <c r="Z19" i="6"/>
  <c r="AC19" i="6" s="1"/>
  <c r="AE19" i="6"/>
  <c r="Z20" i="6"/>
  <c r="AE20" i="6"/>
  <c r="Z24" i="6"/>
  <c r="AC24" i="6" s="1"/>
  <c r="AE24" i="6"/>
  <c r="Z15" i="6"/>
  <c r="AC15" i="6" s="1"/>
  <c r="AE15" i="6"/>
  <c r="Z21" i="6"/>
  <c r="AC21" i="6" s="1"/>
  <c r="AE21" i="6"/>
  <c r="AA41" i="6"/>
  <c r="AE41" i="6"/>
  <c r="Z13" i="6"/>
  <c r="AC13" i="6" s="1"/>
  <c r="AE13" i="6"/>
  <c r="AF5" i="6"/>
  <c r="AG5" i="6" s="1"/>
  <c r="AF9" i="6"/>
  <c r="AF6" i="6"/>
  <c r="AF7" i="6"/>
  <c r="AF19" i="6"/>
  <c r="AF20" i="6"/>
  <c r="AF24" i="6"/>
  <c r="AF15" i="6"/>
  <c r="AF21" i="6"/>
  <c r="Z16" i="6"/>
  <c r="AE16" i="6"/>
  <c r="AG16" i="6" s="1"/>
  <c r="AF13" i="6"/>
  <c r="Z12" i="6"/>
  <c r="AC12" i="6" s="1"/>
  <c r="AE12" i="6"/>
  <c r="AF23" i="6"/>
  <c r="AG23" i="6" s="1"/>
  <c r="Z17" i="6"/>
  <c r="AC17" i="6" s="1"/>
  <c r="AE17" i="6"/>
  <c r="AG17" i="6" s="1"/>
  <c r="AF25" i="6"/>
  <c r="AG25" i="6" s="1"/>
  <c r="Z38" i="6"/>
  <c r="AC38" i="6" s="1"/>
  <c r="AE38" i="6"/>
  <c r="AF28" i="6"/>
  <c r="AG28" i="6" s="1"/>
  <c r="Z37" i="6"/>
  <c r="AE37" i="6"/>
  <c r="AG37" i="6" s="1"/>
  <c r="AF11" i="6"/>
  <c r="AG11" i="6" s="1"/>
  <c r="E42" i="6"/>
  <c r="AB42" i="6" s="1"/>
  <c r="AE42" i="6"/>
  <c r="AF36" i="6"/>
  <c r="AG36" i="6" s="1"/>
  <c r="AF31" i="6"/>
  <c r="AG31" i="6" s="1"/>
  <c r="AF29" i="6"/>
  <c r="AG29" i="6" s="1"/>
  <c r="AF34" i="6"/>
  <c r="AG34" i="6" s="1"/>
  <c r="AF44" i="6"/>
  <c r="AG44" i="6" s="1"/>
  <c r="AF39" i="6"/>
  <c r="AG39" i="6" s="1"/>
  <c r="Z23" i="5"/>
  <c r="AC23" i="5" s="1"/>
  <c r="AE23" i="5"/>
  <c r="AG23" i="5" s="1"/>
  <c r="Z28" i="5"/>
  <c r="AE28" i="5"/>
  <c r="AG28" i="5" s="1"/>
  <c r="AE27" i="5"/>
  <c r="AG27" i="5" s="1"/>
  <c r="Z7" i="5"/>
  <c r="AE7" i="5"/>
  <c r="AG7" i="5" s="1"/>
  <c r="AE25" i="5"/>
  <c r="AG25" i="5" s="1"/>
  <c r="Z18" i="5"/>
  <c r="AE18" i="5"/>
  <c r="AG18" i="5" s="1"/>
  <c r="AE34" i="5"/>
  <c r="AG34" i="5" s="1"/>
  <c r="Z20" i="5"/>
  <c r="AE20" i="5"/>
  <c r="AG20" i="5" s="1"/>
  <c r="AE36" i="5"/>
  <c r="AG36" i="5" s="1"/>
  <c r="AE8" i="5"/>
  <c r="AG8" i="5" s="1"/>
  <c r="Z2" i="5"/>
  <c r="AC2" i="5" s="1"/>
  <c r="AE2" i="5"/>
  <c r="AG2" i="5" s="1"/>
  <c r="AE10" i="5"/>
  <c r="AG10" i="5" s="1"/>
  <c r="Z11" i="5"/>
  <c r="AC11" i="5" s="1"/>
  <c r="AE11" i="5"/>
  <c r="AG11" i="5" s="1"/>
  <c r="AE13" i="5"/>
  <c r="AG13" i="5" s="1"/>
  <c r="Z6" i="5"/>
  <c r="AC6" i="5" s="1"/>
  <c r="AE6" i="5"/>
  <c r="AG6" i="5" s="1"/>
  <c r="AE9" i="5"/>
  <c r="AG9" i="5" s="1"/>
  <c r="Z15" i="5"/>
  <c r="AC15" i="5" s="1"/>
  <c r="AE15" i="5"/>
  <c r="AG15" i="5" s="1"/>
  <c r="AE26" i="5"/>
  <c r="AG26" i="5" s="1"/>
  <c r="Z29" i="5"/>
  <c r="AC29" i="5" s="1"/>
  <c r="AE29" i="5"/>
  <c r="AG29" i="5" s="1"/>
  <c r="AE35" i="5"/>
  <c r="AG35" i="5" s="1"/>
  <c r="Z3" i="5"/>
  <c r="AC3" i="5" s="1"/>
  <c r="AE3" i="5"/>
  <c r="AG3" i="5" s="1"/>
  <c r="AE16" i="5"/>
  <c r="AG16" i="5" s="1"/>
  <c r="Z31" i="5"/>
  <c r="AE31" i="5"/>
  <c r="AG31" i="5" s="1"/>
  <c r="AE5" i="5"/>
  <c r="AG5" i="5" s="1"/>
  <c r="Z12" i="5"/>
  <c r="AE12" i="5"/>
  <c r="AG12" i="5" s="1"/>
  <c r="Z30" i="5"/>
  <c r="AC30" i="5" s="1"/>
  <c r="AE30" i="5"/>
  <c r="AG30" i="5" s="1"/>
  <c r="AE19" i="5"/>
  <c r="AG19" i="5" s="1"/>
  <c r="Z24" i="5"/>
  <c r="AC24" i="5" s="1"/>
  <c r="AE24" i="5"/>
  <c r="AG24" i="5" s="1"/>
  <c r="AE14" i="5"/>
  <c r="AG14" i="5" s="1"/>
  <c r="Z22" i="5"/>
  <c r="AC22" i="5" s="1"/>
  <c r="AE22" i="5"/>
  <c r="AG22" i="5" s="1"/>
  <c r="AE4" i="5"/>
  <c r="AG4" i="5" s="1"/>
  <c r="Z21" i="5"/>
  <c r="AC21" i="5" s="1"/>
  <c r="AE21" i="5"/>
  <c r="AG21" i="5" s="1"/>
  <c r="AE33" i="5"/>
  <c r="AG33" i="5" s="1"/>
  <c r="Z32" i="5"/>
  <c r="AC32" i="5" s="1"/>
  <c r="AE32" i="5"/>
  <c r="AG32" i="5" s="1"/>
  <c r="AE17" i="5"/>
  <c r="AI3" i="6"/>
  <c r="AI10" i="6"/>
  <c r="AI8" i="6"/>
  <c r="AI14" i="6"/>
  <c r="AI27" i="6"/>
  <c r="AI4" i="6"/>
  <c r="AJ4" i="6" s="1"/>
  <c r="AM4" i="6" s="1"/>
  <c r="AI18" i="6"/>
  <c r="AC7" i="6"/>
  <c r="AI2" i="6"/>
  <c r="AC12" i="5"/>
  <c r="E24" i="5"/>
  <c r="AB24" i="5" s="1"/>
  <c r="E22" i="5"/>
  <c r="AB22" i="5" s="1"/>
  <c r="E21" i="5"/>
  <c r="AB21" i="5" s="1"/>
  <c r="E32" i="5"/>
  <c r="AB32" i="5" s="1"/>
  <c r="AI23" i="5"/>
  <c r="AJ23" i="5" s="1"/>
  <c r="AM23" i="5" s="1"/>
  <c r="AI28" i="5"/>
  <c r="AI27" i="5"/>
  <c r="AJ27" i="5" s="1"/>
  <c r="AM27" i="5" s="1"/>
  <c r="AI7" i="5"/>
  <c r="AJ7" i="5" s="1"/>
  <c r="AM7" i="5" s="1"/>
  <c r="AK7" i="5" s="1"/>
  <c r="AL7" i="5" s="1"/>
  <c r="AI25" i="5"/>
  <c r="AJ25" i="5" s="1"/>
  <c r="AM25" i="5" s="1"/>
  <c r="AI18" i="5"/>
  <c r="AI34" i="5"/>
  <c r="AJ34" i="5" s="1"/>
  <c r="AM34" i="5" s="1"/>
  <c r="AI20" i="5"/>
  <c r="AJ20" i="5" s="1"/>
  <c r="AM20" i="5" s="1"/>
  <c r="AK20" i="5" s="1"/>
  <c r="AL20" i="5" s="1"/>
  <c r="AI36" i="5"/>
  <c r="AJ36" i="5" s="1"/>
  <c r="AM36" i="5" s="1"/>
  <c r="AK36" i="5" s="1"/>
  <c r="AL36" i="5" s="1"/>
  <c r="AI8" i="5"/>
  <c r="AJ8" i="5" s="1"/>
  <c r="AM8" i="5" s="1"/>
  <c r="AI2" i="5"/>
  <c r="AI10" i="5"/>
  <c r="AJ10" i="5" s="1"/>
  <c r="AM10" i="5" s="1"/>
  <c r="AI11" i="5"/>
  <c r="AJ11" i="5" s="1"/>
  <c r="AM11" i="5" s="1"/>
  <c r="AK11" i="5" s="1"/>
  <c r="AL11" i="5" s="1"/>
  <c r="AI13" i="5"/>
  <c r="AJ13" i="5" s="1"/>
  <c r="AM13" i="5" s="1"/>
  <c r="AI6" i="5"/>
  <c r="AJ6" i="5" s="1"/>
  <c r="AM6" i="5" s="1"/>
  <c r="AK6" i="5" s="1"/>
  <c r="AL6" i="5" s="1"/>
  <c r="AI9" i="5"/>
  <c r="AJ9" i="5" s="1"/>
  <c r="AM9" i="5" s="1"/>
  <c r="AI15" i="5"/>
  <c r="AJ15" i="5" s="1"/>
  <c r="AM15" i="5" s="1"/>
  <c r="AK15" i="5" s="1"/>
  <c r="AL15" i="5" s="1"/>
  <c r="AI25" i="6"/>
  <c r="AI6" i="6"/>
  <c r="AI7" i="6"/>
  <c r="AI19" i="6"/>
  <c r="AJ19" i="6" s="1"/>
  <c r="AM19" i="6" s="1"/>
  <c r="AI20" i="6"/>
  <c r="AJ20" i="6" s="1"/>
  <c r="AM20" i="6" s="1"/>
  <c r="AK20" i="6" s="1"/>
  <c r="AL20" i="6" s="1"/>
  <c r="AI24" i="6"/>
  <c r="AI15" i="6"/>
  <c r="AI21" i="6"/>
  <c r="AJ21" i="6" s="1"/>
  <c r="AM21" i="6" s="1"/>
  <c r="AC16" i="6"/>
  <c r="E13" i="6"/>
  <c r="AB13" i="6" s="1"/>
  <c r="AI12" i="6"/>
  <c r="AI17" i="6"/>
  <c r="AJ17" i="6" s="1"/>
  <c r="AM17" i="6" s="1"/>
  <c r="AI38" i="6"/>
  <c r="AI37" i="6"/>
  <c r="AI42" i="6"/>
  <c r="AI22" i="6"/>
  <c r="AI30" i="6"/>
  <c r="AI26" i="6"/>
  <c r="AJ26" i="6" s="1"/>
  <c r="AM26" i="6" s="1"/>
  <c r="AK26" i="6" s="1"/>
  <c r="AL26" i="6" s="1"/>
  <c r="AI35" i="6"/>
  <c r="AI43" i="6"/>
  <c r="AI40" i="6"/>
  <c r="AC20" i="6"/>
  <c r="AI16" i="6"/>
  <c r="AJ16" i="6" s="1"/>
  <c r="AM16" i="6" s="1"/>
  <c r="AK16" i="6" s="1"/>
  <c r="AL16" i="6" s="1"/>
  <c r="AI13" i="6"/>
  <c r="AJ13" i="6" s="1"/>
  <c r="AM13" i="6" s="1"/>
  <c r="AI23" i="6"/>
  <c r="AI28" i="6"/>
  <c r="AC37" i="6"/>
  <c r="AI11" i="6"/>
  <c r="AJ11" i="6" s="1"/>
  <c r="AM11" i="6" s="1"/>
  <c r="AI36" i="6"/>
  <c r="AJ36" i="6" s="1"/>
  <c r="AM36" i="6" s="1"/>
  <c r="AK36" i="6" s="1"/>
  <c r="AL36" i="6" s="1"/>
  <c r="AI31" i="6"/>
  <c r="AJ31" i="6" s="1"/>
  <c r="AM31" i="6" s="1"/>
  <c r="AK31" i="6" s="1"/>
  <c r="AL31" i="6" s="1"/>
  <c r="AI29" i="6"/>
  <c r="AI34" i="6"/>
  <c r="AI44" i="6"/>
  <c r="AJ44" i="6" s="1"/>
  <c r="AM44" i="6" s="1"/>
  <c r="AK44" i="6" s="1"/>
  <c r="AL44" i="6" s="1"/>
  <c r="AI39" i="6"/>
  <c r="AJ39" i="6" s="1"/>
  <c r="AM39" i="6" s="1"/>
  <c r="AK39" i="6" s="1"/>
  <c r="AL39" i="6" s="1"/>
  <c r="AI5" i="6"/>
  <c r="AJ5" i="6" s="1"/>
  <c r="AM5" i="6" s="1"/>
  <c r="AK5" i="6" s="1"/>
  <c r="AL5" i="6" s="1"/>
  <c r="AI9" i="6"/>
  <c r="E16" i="6"/>
  <c r="AB16" i="6" s="1"/>
  <c r="E5" i="6"/>
  <c r="AB5" i="6" s="1"/>
  <c r="Z5" i="6"/>
  <c r="AC5" i="6" s="1"/>
  <c r="E9" i="6"/>
  <c r="AB9" i="6" s="1"/>
  <c r="E6" i="6"/>
  <c r="AB6" i="6" s="1"/>
  <c r="E7" i="6"/>
  <c r="AB7" i="6" s="1"/>
  <c r="E19" i="6"/>
  <c r="AB19" i="6" s="1"/>
  <c r="E20" i="6"/>
  <c r="AB20" i="6" s="1"/>
  <c r="E24" i="6"/>
  <c r="AB24" i="6" s="1"/>
  <c r="E15" i="6"/>
  <c r="AB15" i="6" s="1"/>
  <c r="E21" i="6"/>
  <c r="AB21" i="6" s="1"/>
  <c r="E12" i="6"/>
  <c r="AB12" i="6" s="1"/>
  <c r="E17" i="6"/>
  <c r="AB17" i="6" s="1"/>
  <c r="E38" i="6"/>
  <c r="AB38" i="6" s="1"/>
  <c r="E37" i="6"/>
  <c r="AB37" i="6" s="1"/>
  <c r="E36" i="6"/>
  <c r="AB36" i="6" s="1"/>
  <c r="Z36" i="6"/>
  <c r="E31" i="6"/>
  <c r="AB31" i="6" s="1"/>
  <c r="Z31" i="6"/>
  <c r="AC31" i="6" s="1"/>
  <c r="E29" i="6"/>
  <c r="AB29" i="6" s="1"/>
  <c r="Z29" i="6"/>
  <c r="AC29" i="6" s="1"/>
  <c r="E34" i="6"/>
  <c r="AB34" i="6" s="1"/>
  <c r="Z34" i="6"/>
  <c r="AC34" i="6" s="1"/>
  <c r="E44" i="6"/>
  <c r="AB44" i="6" s="1"/>
  <c r="Z44" i="6"/>
  <c r="AC44" i="6" s="1"/>
  <c r="E39" i="6"/>
  <c r="AB39" i="6" s="1"/>
  <c r="Z39" i="6"/>
  <c r="AC39" i="6" s="1"/>
  <c r="AI26" i="5"/>
  <c r="AJ26" i="5" s="1"/>
  <c r="AM26" i="5" s="1"/>
  <c r="AI35" i="5"/>
  <c r="AI16" i="5"/>
  <c r="AJ16" i="5" s="1"/>
  <c r="AM16" i="5" s="1"/>
  <c r="AI5" i="5"/>
  <c r="AJ5" i="5" s="1"/>
  <c r="AM5" i="5" s="1"/>
  <c r="AJ7" i="6"/>
  <c r="AM7" i="6" s="1"/>
  <c r="Z4" i="6"/>
  <c r="AC4" i="6" s="1"/>
  <c r="E4" i="6"/>
  <c r="AB4" i="6" s="1"/>
  <c r="Z32" i="6"/>
  <c r="E32" i="6"/>
  <c r="AC36" i="6"/>
  <c r="AJ9" i="6"/>
  <c r="AM9" i="6" s="1"/>
  <c r="AJ6" i="6"/>
  <c r="AM6" i="6" s="1"/>
  <c r="Z33" i="6"/>
  <c r="E33" i="6"/>
  <c r="Z25" i="6"/>
  <c r="AC25" i="6" s="1"/>
  <c r="E25" i="6"/>
  <c r="AB25" i="6" s="1"/>
  <c r="Z11" i="6"/>
  <c r="AC11" i="6" s="1"/>
  <c r="E11" i="6"/>
  <c r="AB11" i="6" s="1"/>
  <c r="Z26" i="6"/>
  <c r="AC26" i="6" s="1"/>
  <c r="E26" i="6"/>
  <c r="AB26" i="6" s="1"/>
  <c r="E3" i="6"/>
  <c r="AB3" i="6" s="1"/>
  <c r="Z3" i="6"/>
  <c r="AC3" i="6" s="1"/>
  <c r="E10" i="6"/>
  <c r="AB10" i="6" s="1"/>
  <c r="Z10" i="6"/>
  <c r="AC10" i="6" s="1"/>
  <c r="E8" i="6"/>
  <c r="AB8" i="6" s="1"/>
  <c r="Z8" i="6"/>
  <c r="AC8" i="6" s="1"/>
  <c r="E2" i="6"/>
  <c r="AB2" i="6" s="1"/>
  <c r="Z2" i="6"/>
  <c r="AC2" i="6" s="1"/>
  <c r="E14" i="6"/>
  <c r="AB14" i="6" s="1"/>
  <c r="Z14" i="6"/>
  <c r="AC14" i="6" s="1"/>
  <c r="Z27" i="6"/>
  <c r="AC27" i="6" s="1"/>
  <c r="E27" i="6"/>
  <c r="AB27" i="6" s="1"/>
  <c r="AJ24" i="6"/>
  <c r="AM24" i="6" s="1"/>
  <c r="AJ15" i="6"/>
  <c r="AM15" i="6" s="1"/>
  <c r="AK15" i="6" s="1"/>
  <c r="AL15" i="6" s="1"/>
  <c r="Z18" i="6"/>
  <c r="AC18" i="6" s="1"/>
  <c r="E18" i="6"/>
  <c r="AB18" i="6" s="1"/>
  <c r="AA33" i="6"/>
  <c r="AF33" i="6" s="1"/>
  <c r="AG33" i="6" s="1"/>
  <c r="Z41" i="6"/>
  <c r="E41" i="6"/>
  <c r="AB41" i="6" s="1"/>
  <c r="AA32" i="6"/>
  <c r="AF32" i="6" s="1"/>
  <c r="AG32" i="6" s="1"/>
  <c r="AJ12" i="6"/>
  <c r="AM12" i="6" s="1"/>
  <c r="AK12" i="6" s="1"/>
  <c r="AL12" i="6" s="1"/>
  <c r="Z23" i="6"/>
  <c r="AC23" i="6" s="1"/>
  <c r="E23" i="6"/>
  <c r="AB23" i="6" s="1"/>
  <c r="AJ25" i="6"/>
  <c r="AM25" i="6" s="1"/>
  <c r="AJ38" i="6"/>
  <c r="AM38" i="6" s="1"/>
  <c r="AK38" i="6" s="1"/>
  <c r="AL38" i="6" s="1"/>
  <c r="Z28" i="6"/>
  <c r="AC28" i="6" s="1"/>
  <c r="E28" i="6"/>
  <c r="AB28" i="6" s="1"/>
  <c r="AJ37" i="6"/>
  <c r="AM37" i="6" s="1"/>
  <c r="AJ42" i="6"/>
  <c r="AM42" i="6" s="1"/>
  <c r="Z22" i="6"/>
  <c r="AC22" i="6" s="1"/>
  <c r="E22" i="6"/>
  <c r="AB22" i="6" s="1"/>
  <c r="AJ29" i="6"/>
  <c r="AM29" i="6" s="1"/>
  <c r="Z42" i="6"/>
  <c r="AC42" i="6" s="1"/>
  <c r="Z30" i="6"/>
  <c r="AC30" i="6" s="1"/>
  <c r="E30" i="6"/>
  <c r="AB30" i="6" s="1"/>
  <c r="AJ34" i="6"/>
  <c r="AM34" i="6" s="1"/>
  <c r="AK34" i="6" s="1"/>
  <c r="AL34" i="6" s="1"/>
  <c r="E35" i="6"/>
  <c r="AB35" i="6" s="1"/>
  <c r="Z35" i="6"/>
  <c r="AC35" i="6" s="1"/>
  <c r="E43" i="6"/>
  <c r="AB43" i="6" s="1"/>
  <c r="Z43" i="6"/>
  <c r="AC43" i="6" s="1"/>
  <c r="E40" i="6"/>
  <c r="AB40" i="6" s="1"/>
  <c r="Z40" i="6"/>
  <c r="AC40" i="6" s="1"/>
  <c r="AI29" i="5"/>
  <c r="AJ29" i="5" s="1"/>
  <c r="AM29" i="5" s="1"/>
  <c r="AK29" i="5" s="1"/>
  <c r="AL29" i="5" s="1"/>
  <c r="AI3" i="5"/>
  <c r="AI31" i="5"/>
  <c r="AJ31" i="5" s="1"/>
  <c r="AM31" i="5" s="1"/>
  <c r="AK31" i="5" s="1"/>
  <c r="AL31" i="5" s="1"/>
  <c r="AI12" i="5"/>
  <c r="AJ12" i="5" s="1"/>
  <c r="AM12" i="5" s="1"/>
  <c r="AK12" i="5" s="1"/>
  <c r="AL12" i="5" s="1"/>
  <c r="AI30" i="5"/>
  <c r="AJ30" i="5" s="1"/>
  <c r="AM30" i="5" s="1"/>
  <c r="AK30" i="5" s="1"/>
  <c r="AL30" i="5" s="1"/>
  <c r="AI19" i="5"/>
  <c r="AJ19" i="5" s="1"/>
  <c r="AM19" i="5" s="1"/>
  <c r="AI24" i="5"/>
  <c r="AJ24" i="5" s="1"/>
  <c r="AM24" i="5" s="1"/>
  <c r="AK24" i="5" s="1"/>
  <c r="AL24" i="5" s="1"/>
  <c r="AI14" i="5"/>
  <c r="AI22" i="5"/>
  <c r="AJ22" i="5" s="1"/>
  <c r="AM22" i="5" s="1"/>
  <c r="AK22" i="5" s="1"/>
  <c r="AL22" i="5" s="1"/>
  <c r="AI4" i="5"/>
  <c r="AJ4" i="5" s="1"/>
  <c r="AM4" i="5" s="1"/>
  <c r="AI21" i="5"/>
  <c r="AJ21" i="5" s="1"/>
  <c r="AM21" i="5" s="1"/>
  <c r="AI33" i="5"/>
  <c r="AJ33" i="5" s="1"/>
  <c r="AM33" i="5" s="1"/>
  <c r="AK33" i="5" s="1"/>
  <c r="AL33" i="5" s="1"/>
  <c r="AI32" i="5"/>
  <c r="AJ32" i="5" s="1"/>
  <c r="AM32" i="5" s="1"/>
  <c r="AK32" i="5" s="1"/>
  <c r="AL32" i="5" s="1"/>
  <c r="AC28" i="5"/>
  <c r="AC7" i="5"/>
  <c r="AC18" i="5"/>
  <c r="AC20" i="5"/>
  <c r="E29" i="5"/>
  <c r="AB29" i="5" s="1"/>
  <c r="E3" i="5"/>
  <c r="AB3" i="5" s="1"/>
  <c r="E31" i="5"/>
  <c r="AB31" i="5" s="1"/>
  <c r="E12" i="5"/>
  <c r="AB12" i="5" s="1"/>
  <c r="E30" i="5"/>
  <c r="AB30" i="5" s="1"/>
  <c r="E36" i="5"/>
  <c r="AB36" i="5" s="1"/>
  <c r="Z36" i="5"/>
  <c r="AC36" i="5" s="1"/>
  <c r="E2" i="5"/>
  <c r="AB2" i="5" s="1"/>
  <c r="E11" i="5"/>
  <c r="AB11" i="5" s="1"/>
  <c r="E6" i="5"/>
  <c r="AB6" i="5" s="1"/>
  <c r="E15" i="5"/>
  <c r="AB15" i="5" s="1"/>
  <c r="AJ2" i="5"/>
  <c r="AM2" i="5" s="1"/>
  <c r="AK2" i="5" s="1"/>
  <c r="AL2" i="5" s="1"/>
  <c r="AJ3" i="5"/>
  <c r="AM3" i="5" s="1"/>
  <c r="AK3" i="5" s="1"/>
  <c r="AL3" i="5" s="1"/>
  <c r="E23" i="5"/>
  <c r="AB23" i="5" s="1"/>
  <c r="E28" i="5"/>
  <c r="AB28" i="5" s="1"/>
  <c r="E7" i="5"/>
  <c r="AB7" i="5" s="1"/>
  <c r="E18" i="5"/>
  <c r="AB18" i="5" s="1"/>
  <c r="E20" i="5"/>
  <c r="AB20" i="5" s="1"/>
  <c r="E8" i="5"/>
  <c r="AB8" i="5" s="1"/>
  <c r="Z8" i="5"/>
  <c r="AC8" i="5" s="1"/>
  <c r="E10" i="5"/>
  <c r="AB10" i="5" s="1"/>
  <c r="Z10" i="5"/>
  <c r="AC10" i="5" s="1"/>
  <c r="E13" i="5"/>
  <c r="AB13" i="5" s="1"/>
  <c r="Z13" i="5"/>
  <c r="AC13" i="5" s="1"/>
  <c r="E9" i="5"/>
  <c r="AB9" i="5" s="1"/>
  <c r="Z9" i="5"/>
  <c r="AC9" i="5" s="1"/>
  <c r="E26" i="5"/>
  <c r="AB26" i="5" s="1"/>
  <c r="Z26" i="5"/>
  <c r="AC26" i="5" s="1"/>
  <c r="E35" i="5"/>
  <c r="AB35" i="5" s="1"/>
  <c r="Z35" i="5"/>
  <c r="AC35" i="5" s="1"/>
  <c r="AJ35" i="5"/>
  <c r="AM35" i="5" s="1"/>
  <c r="E16" i="5"/>
  <c r="AB16" i="5" s="1"/>
  <c r="Z16" i="5"/>
  <c r="AC16" i="5" s="1"/>
  <c r="AC31" i="5"/>
  <c r="E5" i="5"/>
  <c r="AB5" i="5" s="1"/>
  <c r="Z5" i="5"/>
  <c r="AC5" i="5" s="1"/>
  <c r="AA17" i="5"/>
  <c r="AI17" i="5" s="1"/>
  <c r="AJ17" i="5" s="1"/>
  <c r="AM17" i="5" s="1"/>
  <c r="AK17" i="5" s="1"/>
  <c r="AL17" i="5" s="1"/>
  <c r="Z19" i="5"/>
  <c r="AC19" i="5" s="1"/>
  <c r="E19" i="5"/>
  <c r="AB19" i="5" s="1"/>
  <c r="AJ14" i="5"/>
  <c r="AM14" i="5" s="1"/>
  <c r="Z14" i="5"/>
  <c r="AC14" i="5" s="1"/>
  <c r="E14" i="5"/>
  <c r="AB14" i="5" s="1"/>
  <c r="Z4" i="5"/>
  <c r="AC4" i="5" s="1"/>
  <c r="E4" i="5"/>
  <c r="AB4" i="5" s="1"/>
  <c r="Z33" i="5"/>
  <c r="AC33" i="5" s="1"/>
  <c r="E33" i="5"/>
  <c r="AB33" i="5" s="1"/>
  <c r="Z17" i="5"/>
  <c r="E17" i="5"/>
  <c r="AJ28" i="5"/>
  <c r="AM28" i="5" s="1"/>
  <c r="AK28" i="5" s="1"/>
  <c r="AL28" i="5" s="1"/>
  <c r="Z27" i="5"/>
  <c r="AC27" i="5" s="1"/>
  <c r="E27" i="5"/>
  <c r="AB27" i="5" s="1"/>
  <c r="Z25" i="5"/>
  <c r="AC25" i="5" s="1"/>
  <c r="E25" i="5"/>
  <c r="AB25" i="5" s="1"/>
  <c r="AJ18" i="5"/>
  <c r="AM18" i="5" s="1"/>
  <c r="AK18" i="5" s="1"/>
  <c r="AL18" i="5" s="1"/>
  <c r="Z34" i="5"/>
  <c r="AC34" i="5" s="1"/>
  <c r="E34" i="5"/>
  <c r="AB34" i="5" s="1"/>
  <c r="AC41" i="6" l="1"/>
  <c r="AG42" i="6"/>
  <c r="AG38" i="6"/>
  <c r="AG12" i="6"/>
  <c r="AN12" i="6" s="1"/>
  <c r="AO12" i="6" s="1"/>
  <c r="AG13" i="6"/>
  <c r="AG41" i="6"/>
  <c r="AG21" i="6"/>
  <c r="AG15" i="6"/>
  <c r="AG24" i="6"/>
  <c r="AG20" i="6"/>
  <c r="AN20" i="6" s="1"/>
  <c r="AO20" i="6" s="1"/>
  <c r="AG19" i="6"/>
  <c r="AG7" i="6"/>
  <c r="AG6" i="6"/>
  <c r="AG9" i="6"/>
  <c r="AF17" i="5"/>
  <c r="AG17" i="5" s="1"/>
  <c r="AN26" i="6"/>
  <c r="AO26" i="6" s="1"/>
  <c r="AN5" i="6"/>
  <c r="AO5" i="6" s="1"/>
  <c r="AN34" i="6"/>
  <c r="AO34" i="6" s="1"/>
  <c r="AN16" i="6"/>
  <c r="AO16" i="6" s="1"/>
  <c r="AN39" i="6"/>
  <c r="AO39" i="6" s="1"/>
  <c r="AN31" i="6"/>
  <c r="AO31" i="6" s="1"/>
  <c r="AN38" i="6"/>
  <c r="AO38" i="6" s="1"/>
  <c r="AN44" i="6"/>
  <c r="AO44" i="6" s="1"/>
  <c r="AN36" i="6"/>
  <c r="AO36" i="6" s="1"/>
  <c r="AI41" i="6"/>
  <c r="AJ41" i="6" s="1"/>
  <c r="AM41" i="6" s="1"/>
  <c r="AF41" i="6"/>
  <c r="AN15" i="6"/>
  <c r="AO15" i="6" s="1"/>
  <c r="AN22" i="5"/>
  <c r="AO22" i="5" s="1"/>
  <c r="AN30" i="5"/>
  <c r="AO30" i="5" s="1"/>
  <c r="AN31" i="5"/>
  <c r="AO31" i="5" s="1"/>
  <c r="AN29" i="5"/>
  <c r="AO29" i="5" s="1"/>
  <c r="AN36" i="5"/>
  <c r="AO36" i="5" s="1"/>
  <c r="AN18" i="5"/>
  <c r="AO18" i="5" s="1"/>
  <c r="AN32" i="5"/>
  <c r="AO32" i="5" s="1"/>
  <c r="AN33" i="5"/>
  <c r="AO33" i="5" s="1"/>
  <c r="AN24" i="5"/>
  <c r="AO24" i="5" s="1"/>
  <c r="AN12" i="5"/>
  <c r="AO12" i="5" s="1"/>
  <c r="AN3" i="5"/>
  <c r="AO3" i="5" s="1"/>
  <c r="AN15" i="5"/>
  <c r="AO15" i="5" s="1"/>
  <c r="AN6" i="5"/>
  <c r="AO6" i="5" s="1"/>
  <c r="AN11" i="5"/>
  <c r="AO11" i="5" s="1"/>
  <c r="AN20" i="5"/>
  <c r="AO20" i="5" s="1"/>
  <c r="AN7" i="5"/>
  <c r="AO7" i="5" s="1"/>
  <c r="AN28" i="5"/>
  <c r="AO28" i="5" s="1"/>
  <c r="AC17" i="5"/>
  <c r="AK21" i="5"/>
  <c r="AL21" i="5" s="1"/>
  <c r="AI33" i="6"/>
  <c r="AJ33" i="6" s="1"/>
  <c r="AM33" i="6" s="1"/>
  <c r="AI32" i="6"/>
  <c r="AJ32" i="6" s="1"/>
  <c r="AM32" i="6" s="1"/>
  <c r="AK29" i="6"/>
  <c r="AL29" i="6" s="1"/>
  <c r="AK37" i="6"/>
  <c r="AL37" i="6" s="1"/>
  <c r="AK25" i="6"/>
  <c r="AL25" i="6" s="1"/>
  <c r="AK13" i="6"/>
  <c r="AL13" i="6" s="1"/>
  <c r="AK24" i="6"/>
  <c r="AL24" i="6" s="1"/>
  <c r="AK6" i="6"/>
  <c r="AL6" i="6" s="1"/>
  <c r="AK11" i="6"/>
  <c r="AL11" i="6" s="1"/>
  <c r="AK17" i="6"/>
  <c r="AL17" i="6" s="1"/>
  <c r="AK21" i="6"/>
  <c r="AL21" i="6" s="1"/>
  <c r="AK4" i="6"/>
  <c r="AL4" i="6" s="1"/>
  <c r="AK19" i="6"/>
  <c r="AL19" i="6" s="1"/>
  <c r="AK9" i="6"/>
  <c r="AL9" i="6" s="1"/>
  <c r="AK7" i="6"/>
  <c r="AL7" i="6" s="1"/>
  <c r="AK42" i="6"/>
  <c r="AL42" i="6" s="1"/>
  <c r="AJ23" i="6"/>
  <c r="AM23" i="6" s="1"/>
  <c r="AB33" i="6"/>
  <c r="AJ28" i="6"/>
  <c r="AM28" i="6" s="1"/>
  <c r="AB32" i="6"/>
  <c r="AJ2" i="6"/>
  <c r="AM2" i="6" s="1"/>
  <c r="AJ8" i="6"/>
  <c r="AM8" i="6" s="1"/>
  <c r="AJ40" i="6"/>
  <c r="AM40" i="6" s="1"/>
  <c r="AJ43" i="6"/>
  <c r="AM43" i="6" s="1"/>
  <c r="AJ35" i="6"/>
  <c r="AM35" i="6" s="1"/>
  <c r="AJ22" i="6"/>
  <c r="AM22" i="6" s="1"/>
  <c r="AJ30" i="6"/>
  <c r="AM30" i="6" s="1"/>
  <c r="AC33" i="6"/>
  <c r="AJ27" i="6"/>
  <c r="AM27" i="6" s="1"/>
  <c r="AC32" i="6"/>
  <c r="AJ18" i="6"/>
  <c r="AM18" i="6" s="1"/>
  <c r="AJ14" i="6"/>
  <c r="AM14" i="6" s="1"/>
  <c r="AJ10" i="6"/>
  <c r="AM10" i="6" s="1"/>
  <c r="AJ3" i="6"/>
  <c r="AM3" i="6" s="1"/>
  <c r="AP20" i="5"/>
  <c r="AK34" i="5"/>
  <c r="AL34" i="5" s="1"/>
  <c r="AK23" i="5"/>
  <c r="AL23" i="5" s="1"/>
  <c r="AK4" i="5"/>
  <c r="AL4" i="5" s="1"/>
  <c r="AK19" i="5"/>
  <c r="AL19" i="5" s="1"/>
  <c r="AK5" i="5"/>
  <c r="AL5" i="5" s="1"/>
  <c r="AK35" i="5"/>
  <c r="AL35" i="5" s="1"/>
  <c r="AK9" i="5"/>
  <c r="AL9" i="5" s="1"/>
  <c r="AK10" i="5"/>
  <c r="AL10" i="5" s="1"/>
  <c r="AK27" i="5"/>
  <c r="AL27" i="5" s="1"/>
  <c r="AK25" i="5"/>
  <c r="AL25" i="5" s="1"/>
  <c r="AK14" i="5"/>
  <c r="AL14" i="5" s="1"/>
  <c r="AK16" i="5"/>
  <c r="AL16" i="5" s="1"/>
  <c r="AK26" i="5"/>
  <c r="AL26" i="5" s="1"/>
  <c r="AK13" i="5"/>
  <c r="AL13" i="5" s="1"/>
  <c r="AK8" i="5"/>
  <c r="AL8" i="5" s="1"/>
  <c r="AP32" i="5"/>
  <c r="AB17" i="5"/>
  <c r="AN17" i="5" l="1"/>
  <c r="AP18" i="5"/>
  <c r="AP28" i="5"/>
  <c r="AP6" i="5"/>
  <c r="AQ6" i="5"/>
  <c r="AN9" i="6"/>
  <c r="AO9" i="6" s="1"/>
  <c r="AN7" i="6"/>
  <c r="AO7" i="6" s="1"/>
  <c r="AN37" i="6"/>
  <c r="AO37" i="6" s="1"/>
  <c r="AN29" i="6"/>
  <c r="AO29" i="6" s="1"/>
  <c r="AN4" i="6"/>
  <c r="AO4" i="6" s="1"/>
  <c r="AN42" i="6"/>
  <c r="AO42" i="6" s="1"/>
  <c r="AN25" i="6"/>
  <c r="AO25" i="6" s="1"/>
  <c r="AN6" i="6"/>
  <c r="AO6" i="6" s="1"/>
  <c r="AN19" i="6"/>
  <c r="AO19" i="6" s="1"/>
  <c r="AN24" i="6"/>
  <c r="AO24" i="6" s="1"/>
  <c r="AN21" i="6"/>
  <c r="AO21" i="6" s="1"/>
  <c r="AN13" i="6"/>
  <c r="AO13" i="6" s="1"/>
  <c r="AN17" i="6"/>
  <c r="AO17" i="6" s="1"/>
  <c r="AN11" i="6"/>
  <c r="AO11" i="6" s="1"/>
  <c r="AN23" i="5"/>
  <c r="AO23" i="5" s="1"/>
  <c r="AN34" i="5"/>
  <c r="AO34" i="5" s="1"/>
  <c r="AN26" i="5"/>
  <c r="AO26" i="5" s="1"/>
  <c r="AN4" i="5"/>
  <c r="AO4" i="5" s="1"/>
  <c r="AN21" i="5"/>
  <c r="AO21" i="5" s="1"/>
  <c r="AN27" i="5"/>
  <c r="AO27" i="5" s="1"/>
  <c r="AN2" i="5"/>
  <c r="AO2" i="5" s="1"/>
  <c r="AQ2" i="5" s="1"/>
  <c r="AN9" i="5"/>
  <c r="AO9" i="5" s="1"/>
  <c r="AN35" i="5"/>
  <c r="AO35" i="5" s="1"/>
  <c r="AN25" i="5"/>
  <c r="AO25" i="5" s="1"/>
  <c r="AN13" i="5"/>
  <c r="AO13" i="5" s="1"/>
  <c r="AN14" i="5"/>
  <c r="AO14" i="5" s="1"/>
  <c r="AN8" i="5"/>
  <c r="AO8" i="5" s="1"/>
  <c r="AN10" i="5"/>
  <c r="AO10" i="5" s="1"/>
  <c r="AN16" i="5"/>
  <c r="AO16" i="5" s="1"/>
  <c r="AN5" i="5"/>
  <c r="AO5" i="5" s="1"/>
  <c r="AP5" i="5" s="1"/>
  <c r="AN19" i="5"/>
  <c r="AO19" i="5" s="1"/>
  <c r="AQ44" i="6"/>
  <c r="AQ34" i="6"/>
  <c r="AP36" i="6"/>
  <c r="AP16" i="6"/>
  <c r="AP7" i="5"/>
  <c r="AQ31" i="5"/>
  <c r="AK33" i="6"/>
  <c r="AL33" i="6" s="1"/>
  <c r="AK32" i="6"/>
  <c r="AL32" i="6" s="1"/>
  <c r="AQ5" i="6"/>
  <c r="AK14" i="6"/>
  <c r="AL14" i="6" s="1"/>
  <c r="AK27" i="6"/>
  <c r="AL27" i="6" s="1"/>
  <c r="AK30" i="6"/>
  <c r="AL30" i="6" s="1"/>
  <c r="AK22" i="6"/>
  <c r="AL22" i="6" s="1"/>
  <c r="AK35" i="6"/>
  <c r="AL35" i="6" s="1"/>
  <c r="AK43" i="6"/>
  <c r="AL43" i="6" s="1"/>
  <c r="AK40" i="6"/>
  <c r="AL40" i="6" s="1"/>
  <c r="AK2" i="6"/>
  <c r="AL2" i="6" s="1"/>
  <c r="AK41" i="6"/>
  <c r="AL41" i="6" s="1"/>
  <c r="AK28" i="6"/>
  <c r="AL28" i="6" s="1"/>
  <c r="AP31" i="6"/>
  <c r="AK3" i="6"/>
  <c r="AL3" i="6" s="1"/>
  <c r="AK10" i="6"/>
  <c r="AL10" i="6" s="1"/>
  <c r="AK18" i="6"/>
  <c r="AL18" i="6" s="1"/>
  <c r="AP12" i="6"/>
  <c r="AP38" i="6"/>
  <c r="AP26" i="6"/>
  <c r="AP34" i="6"/>
  <c r="AP39" i="6"/>
  <c r="AK8" i="6"/>
  <c r="AL8" i="6" s="1"/>
  <c r="AP20" i="6"/>
  <c r="AQ20" i="6"/>
  <c r="AP15" i="6"/>
  <c r="AK23" i="6"/>
  <c r="AL23" i="6" s="1"/>
  <c r="AQ3" i="5"/>
  <c r="AQ11" i="5"/>
  <c r="AQ7" i="5"/>
  <c r="AQ20" i="5"/>
  <c r="AP30" i="5"/>
  <c r="AP14" i="5"/>
  <c r="AP24" i="5"/>
  <c r="AQ12" i="5"/>
  <c r="AP22" i="5"/>
  <c r="AQ32" i="5"/>
  <c r="AQ28" i="5"/>
  <c r="AQ18" i="5"/>
  <c r="AP9" i="5" l="1"/>
  <c r="AO17" i="5"/>
  <c r="AP17" i="5" s="1"/>
  <c r="AP27" i="5"/>
  <c r="AP19" i="5"/>
  <c r="AQ26" i="5"/>
  <c r="AP23" i="5"/>
  <c r="AQ8" i="5"/>
  <c r="AN2" i="6"/>
  <c r="AO2" i="6" s="1"/>
  <c r="AN33" i="6"/>
  <c r="AO33" i="6" s="1"/>
  <c r="AN28" i="6"/>
  <c r="AO28" i="6" s="1"/>
  <c r="AN43" i="6"/>
  <c r="AO43" i="6" s="1"/>
  <c r="AN14" i="6"/>
  <c r="AO14" i="6" s="1"/>
  <c r="AN41" i="6"/>
  <c r="AO41" i="6" s="1"/>
  <c r="AN40" i="6"/>
  <c r="AO40" i="6" s="1"/>
  <c r="AN30" i="6"/>
  <c r="AO30" i="6" s="1"/>
  <c r="AN18" i="6"/>
  <c r="AO18" i="6" s="1"/>
  <c r="AN23" i="6"/>
  <c r="AO23" i="6" s="1"/>
  <c r="AN8" i="6"/>
  <c r="AO8" i="6" s="1"/>
  <c r="AN22" i="6"/>
  <c r="AO22" i="6" s="1"/>
  <c r="AN3" i="6"/>
  <c r="AO3" i="6" s="1"/>
  <c r="AN32" i="6"/>
  <c r="AO32" i="6" s="1"/>
  <c r="AN35" i="6"/>
  <c r="AO35" i="6" s="1"/>
  <c r="AN27" i="6"/>
  <c r="AO27" i="6" s="1"/>
  <c r="AN10" i="6"/>
  <c r="AO10" i="6" s="1"/>
  <c r="AP2" i="5"/>
  <c r="AP31" i="5"/>
  <c r="AQ36" i="6"/>
  <c r="AQ42" i="6"/>
  <c r="AP24" i="6"/>
  <c r="AP4" i="6"/>
  <c r="AQ29" i="6"/>
  <c r="AP19" i="6"/>
  <c r="AP11" i="6"/>
  <c r="AQ6" i="6"/>
  <c r="AP25" i="6"/>
  <c r="AP17" i="6"/>
  <c r="AP9" i="6"/>
  <c r="AQ21" i="6"/>
  <c r="AP7" i="6"/>
  <c r="AQ34" i="5"/>
  <c r="AQ4" i="5"/>
  <c r="AP3" i="5"/>
  <c r="AQ35" i="5"/>
  <c r="AQ10" i="5"/>
  <c r="AQ25" i="5"/>
  <c r="AP16" i="5"/>
  <c r="AP13" i="5"/>
  <c r="AP21" i="5"/>
  <c r="AP36" i="5"/>
  <c r="AQ36" i="5"/>
  <c r="AP33" i="5"/>
  <c r="AQ33" i="5"/>
  <c r="AQ15" i="5"/>
  <c r="AP15" i="5"/>
  <c r="AQ29" i="5"/>
  <c r="AP29" i="5"/>
  <c r="AQ21" i="5"/>
  <c r="AP37" i="6"/>
  <c r="AP21" i="6"/>
  <c r="AQ9" i="6"/>
  <c r="AQ39" i="6"/>
  <c r="AQ12" i="6"/>
  <c r="AQ37" i="6"/>
  <c r="AQ24" i="6"/>
  <c r="AQ17" i="6"/>
  <c r="AQ31" i="6"/>
  <c r="AP5" i="6"/>
  <c r="AP44" i="6"/>
  <c r="AQ26" i="6"/>
  <c r="AP29" i="6"/>
  <c r="AP6" i="6"/>
  <c r="AQ15" i="6"/>
  <c r="AQ38" i="6"/>
  <c r="AQ16" i="6"/>
  <c r="AQ5" i="5"/>
  <c r="AP11" i="5"/>
  <c r="AQ24" i="5"/>
  <c r="AP34" i="5"/>
  <c r="AQ22" i="5"/>
  <c r="AP12" i="5"/>
  <c r="AP4" i="5"/>
  <c r="AQ9" i="5"/>
  <c r="AP25" i="5"/>
  <c r="AQ13" i="5"/>
  <c r="AQ16" i="5"/>
  <c r="AQ23" i="5"/>
  <c r="AQ19" i="5"/>
  <c r="AP35" i="5"/>
  <c r="AP10" i="5"/>
  <c r="AQ27" i="5"/>
  <c r="AQ14" i="5"/>
  <c r="AP26" i="5"/>
  <c r="AP8" i="5"/>
  <c r="AQ30" i="5"/>
  <c r="AQ17" i="5" l="1"/>
  <c r="AQ4" i="6"/>
  <c r="AP42" i="6"/>
  <c r="AQ19" i="6"/>
  <c r="AQ11" i="6"/>
  <c r="AQ25" i="6"/>
  <c r="AQ7" i="6"/>
  <c r="AQ28" i="6"/>
  <c r="AQ27" i="6"/>
  <c r="AP13" i="6"/>
  <c r="AQ13" i="6"/>
  <c r="AP22" i="6"/>
  <c r="AQ40" i="6"/>
  <c r="AQ14" i="6"/>
  <c r="AQ22" i="6"/>
  <c r="AQ35" i="6"/>
  <c r="AQ41" i="6"/>
  <c r="AP2" i="6"/>
  <c r="AQ30" i="6"/>
  <c r="AQ43" i="6"/>
  <c r="AQ2" i="6"/>
  <c r="AQ3" i="6"/>
  <c r="AQ33" i="6"/>
  <c r="AQ32" i="6"/>
  <c r="AP27" i="6"/>
  <c r="AP43" i="6"/>
  <c r="AP28" i="6"/>
  <c r="AQ18" i="6"/>
  <c r="AQ8" i="6"/>
  <c r="AQ23" i="6"/>
  <c r="AP14" i="6"/>
  <c r="AP30" i="6"/>
  <c r="AP35" i="6"/>
  <c r="AP40" i="6"/>
  <c r="AP41" i="6"/>
  <c r="AP3" i="6"/>
  <c r="AP10" i="6"/>
  <c r="AQ10" i="6"/>
  <c r="AP32" i="6" l="1"/>
  <c r="AP33" i="6"/>
  <c r="AP8" i="6"/>
  <c r="AP23" i="6"/>
  <c r="AP18" i="6"/>
  <c r="AA3" i="2" l="1"/>
  <c r="AA4" i="2"/>
  <c r="AA5" i="2"/>
  <c r="AA6" i="2"/>
  <c r="AA7" i="2"/>
  <c r="AA8" i="2"/>
  <c r="AA2" i="2"/>
  <c r="Y2" i="2" l="1"/>
  <c r="E2" i="2"/>
  <c r="AD3" i="4" l="1"/>
  <c r="AD6" i="4"/>
  <c r="AD4" i="4"/>
  <c r="AD5" i="4"/>
  <c r="AD15" i="4"/>
  <c r="AD7" i="4"/>
  <c r="AD8" i="4"/>
  <c r="AD9" i="4"/>
  <c r="AD18" i="4"/>
  <c r="AD10" i="4"/>
  <c r="AD12" i="4"/>
  <c r="AD17" i="4"/>
  <c r="AD11" i="4"/>
  <c r="AD24" i="4"/>
  <c r="AD13" i="4"/>
  <c r="AD28" i="4"/>
  <c r="AD19" i="4"/>
  <c r="AD14" i="4"/>
  <c r="AD16" i="4"/>
  <c r="AD26" i="4"/>
  <c r="AD25" i="4"/>
  <c r="AD22" i="4"/>
  <c r="AD21" i="4"/>
  <c r="AD27" i="4"/>
  <c r="AD20" i="4"/>
  <c r="AD33" i="4"/>
  <c r="AD29" i="4"/>
  <c r="AD23" i="4"/>
  <c r="AD32" i="4"/>
  <c r="AD35" i="4"/>
  <c r="AD30" i="4"/>
  <c r="AD31" i="4"/>
  <c r="AD36" i="4"/>
  <c r="AD34" i="4"/>
  <c r="AD37" i="4"/>
  <c r="AD39" i="4"/>
  <c r="AD40" i="4"/>
  <c r="AD42" i="4"/>
  <c r="AD41" i="4"/>
  <c r="AD38" i="4"/>
  <c r="AD44" i="4"/>
  <c r="AD43" i="4"/>
  <c r="AD2" i="4"/>
  <c r="AA2" i="4"/>
  <c r="AA12" i="4"/>
  <c r="AA32" i="4"/>
  <c r="AA21" i="4"/>
  <c r="AA30" i="4"/>
  <c r="AA5" i="4"/>
  <c r="AA14" i="4"/>
  <c r="AA10" i="4"/>
  <c r="AA11" i="4"/>
  <c r="AA13" i="4"/>
  <c r="AA38" i="4"/>
  <c r="AA24" i="4"/>
  <c r="AA6" i="4"/>
  <c r="AA44" i="4"/>
  <c r="AA26" i="4"/>
  <c r="AA18" i="4"/>
  <c r="AA28" i="4"/>
  <c r="AA7" i="4"/>
  <c r="AA36" i="4"/>
  <c r="AA16" i="4"/>
  <c r="AA40" i="4"/>
  <c r="AA9" i="4"/>
  <c r="AA29" i="4"/>
  <c r="AA33" i="4"/>
  <c r="AA39" i="4"/>
  <c r="AA27" i="4"/>
  <c r="AA41" i="4"/>
  <c r="AA4" i="4"/>
  <c r="AA31" i="4"/>
  <c r="AA25" i="4"/>
  <c r="AA43" i="4"/>
  <c r="AA35" i="4"/>
  <c r="AA17" i="4"/>
  <c r="AA8" i="4"/>
  <c r="AA42" i="4"/>
  <c r="AA37" i="4"/>
  <c r="AA22" i="4"/>
  <c r="AA3" i="4"/>
  <c r="AA34" i="4"/>
  <c r="AA9" i="1" l="1"/>
  <c r="AA26" i="1"/>
  <c r="AA24" i="1"/>
  <c r="AA20" i="1"/>
  <c r="AA19" i="1"/>
  <c r="AA25" i="1"/>
  <c r="AA12" i="1"/>
  <c r="AA23" i="1"/>
  <c r="AA34" i="1"/>
  <c r="AA29" i="1"/>
  <c r="AA14" i="1"/>
  <c r="AA35" i="1"/>
  <c r="AA3" i="1"/>
  <c r="AA2" i="1"/>
  <c r="AA17" i="1"/>
  <c r="AA13" i="1"/>
  <c r="AA22" i="1"/>
  <c r="AA4" i="1"/>
  <c r="AA33" i="1"/>
  <c r="AA10" i="1"/>
  <c r="AA7" i="1"/>
  <c r="AA6" i="1"/>
  <c r="AA16" i="1"/>
  <c r="AA5" i="1"/>
  <c r="AA21" i="1"/>
  <c r="AA18" i="1"/>
  <c r="AA36" i="1"/>
  <c r="AA11" i="1"/>
  <c r="AA27" i="1"/>
  <c r="AA28" i="1"/>
  <c r="AA32" i="1"/>
  <c r="AA30" i="1"/>
  <c r="AA31" i="1"/>
  <c r="M20" i="4" l="1"/>
  <c r="AE20" i="4" s="1"/>
  <c r="AA20" i="4" l="1"/>
  <c r="E20" i="4"/>
  <c r="M25" i="1"/>
  <c r="AE25" i="1" s="1"/>
  <c r="AD25" i="1"/>
  <c r="E25" i="1" l="1"/>
  <c r="M23" i="4"/>
  <c r="AE23" i="4" s="1"/>
  <c r="M15" i="4"/>
  <c r="AE15" i="4" s="1"/>
  <c r="AA15" i="4"/>
  <c r="AA23" i="4" l="1"/>
  <c r="E15" i="4"/>
  <c r="E23" i="4"/>
  <c r="AA8" i="1"/>
  <c r="M5" i="4" l="1"/>
  <c r="AE5" i="4" s="1"/>
  <c r="M15" i="1"/>
  <c r="AE15" i="1" s="1"/>
  <c r="AA15" i="1" l="1"/>
  <c r="E5" i="4"/>
  <c r="E15" i="1"/>
  <c r="AD17" i="1"/>
  <c r="AD3" i="1"/>
  <c r="AD8" i="1"/>
  <c r="AD21" i="1"/>
  <c r="AD34" i="1"/>
  <c r="AD2" i="1"/>
  <c r="AD22" i="1"/>
  <c r="AD15" i="1"/>
  <c r="AD4" i="1"/>
  <c r="AD24" i="1"/>
  <c r="AD18" i="1"/>
  <c r="AD33" i="1"/>
  <c r="AD26" i="1"/>
  <c r="AD5" i="1"/>
  <c r="AD36" i="1"/>
  <c r="AD9" i="1"/>
  <c r="AD11" i="1"/>
  <c r="AD23" i="1"/>
  <c r="AD16" i="1"/>
  <c r="AD32" i="1"/>
  <c r="AD7" i="1"/>
  <c r="AD10" i="1"/>
  <c r="AD14" i="1"/>
  <c r="AD6" i="1"/>
  <c r="AD19" i="1"/>
  <c r="AD35" i="1"/>
  <c r="AD28" i="1"/>
  <c r="AD13" i="1"/>
  <c r="AD30" i="1"/>
  <c r="AD12" i="1"/>
  <c r="AD20" i="1"/>
  <c r="AD29" i="1"/>
  <c r="AD31" i="1"/>
  <c r="AD27" i="1"/>
  <c r="M27" i="1" l="1"/>
  <c r="AE27" i="1" s="1"/>
  <c r="E27" i="1" l="1"/>
  <c r="M33" i="4"/>
  <c r="AE33" i="4" s="1"/>
  <c r="M26" i="4"/>
  <c r="AE26" i="4" s="1"/>
  <c r="M28" i="4"/>
  <c r="AE28" i="4" s="1"/>
  <c r="M36" i="4"/>
  <c r="AE36" i="4" s="1"/>
  <c r="M34" i="4"/>
  <c r="AE34" i="4" s="1"/>
  <c r="M19" i="4"/>
  <c r="AE19" i="4" s="1"/>
  <c r="M40" i="4"/>
  <c r="AE40" i="4" s="1"/>
  <c r="M10" i="4"/>
  <c r="AE10" i="4" s="1"/>
  <c r="M17" i="4"/>
  <c r="AE17" i="4" s="1"/>
  <c r="M27" i="4"/>
  <c r="AE27" i="4" s="1"/>
  <c r="M6" i="4"/>
  <c r="AE6" i="4" s="1"/>
  <c r="M22" i="4"/>
  <c r="AE22" i="4" s="1"/>
  <c r="M37" i="4"/>
  <c r="AE37" i="4" s="1"/>
  <c r="M30" i="4"/>
  <c r="AE30" i="4" s="1"/>
  <c r="M13" i="4"/>
  <c r="AE13" i="4" s="1"/>
  <c r="M11" i="4"/>
  <c r="AE11" i="4" s="1"/>
  <c r="M21" i="4"/>
  <c r="AE21" i="4" s="1"/>
  <c r="M12" i="4"/>
  <c r="AE12" i="4" s="1"/>
  <c r="M39" i="4"/>
  <c r="AE39" i="4" s="1"/>
  <c r="M3" i="4"/>
  <c r="AE3" i="4" s="1"/>
  <c r="M44" i="4"/>
  <c r="AE44" i="4" s="1"/>
  <c r="M18" i="4"/>
  <c r="AE18" i="4" s="1"/>
  <c r="M16" i="4"/>
  <c r="AE16" i="4" s="1"/>
  <c r="M4" i="4"/>
  <c r="AE4" i="4" s="1"/>
  <c r="M31" i="4"/>
  <c r="AE31" i="4" s="1"/>
  <c r="M25" i="4"/>
  <c r="AE25" i="4" s="1"/>
  <c r="M38" i="4"/>
  <c r="AE38" i="4" s="1"/>
  <c r="M41" i="4"/>
  <c r="AE41" i="4" s="1"/>
  <c r="M24" i="4"/>
  <c r="AE24" i="4" s="1"/>
  <c r="M7" i="4"/>
  <c r="AE7" i="4" s="1"/>
  <c r="M42" i="4"/>
  <c r="AE42" i="4" s="1"/>
  <c r="M32" i="4"/>
  <c r="AE32" i="4" s="1"/>
  <c r="M29" i="4"/>
  <c r="AE29" i="4" s="1"/>
  <c r="M43" i="4"/>
  <c r="AE43" i="4" s="1"/>
  <c r="M14" i="4"/>
  <c r="AE14" i="4" s="1"/>
  <c r="M35" i="4"/>
  <c r="AE35" i="4" s="1"/>
  <c r="M8" i="4"/>
  <c r="AE8" i="4" s="1"/>
  <c r="M2" i="4"/>
  <c r="AE2" i="4" s="1"/>
  <c r="M9" i="4"/>
  <c r="AE9" i="4" s="1"/>
  <c r="Z2" i="2"/>
  <c r="Z8" i="2"/>
  <c r="E8" i="2"/>
  <c r="Z7" i="2"/>
  <c r="E7" i="2"/>
  <c r="Z6" i="2"/>
  <c r="E6" i="2"/>
  <c r="AB20" i="4" s="1"/>
  <c r="Z5" i="2"/>
  <c r="E5" i="2"/>
  <c r="Z4" i="2"/>
  <c r="E4" i="2"/>
  <c r="Z3" i="2"/>
  <c r="E3" i="2"/>
  <c r="M14" i="1"/>
  <c r="AE14" i="1" s="1"/>
  <c r="M36" i="1"/>
  <c r="AE36" i="1" s="1"/>
  <c r="M3" i="1"/>
  <c r="AE3" i="1" s="1"/>
  <c r="M18" i="1"/>
  <c r="AE18" i="1" s="1"/>
  <c r="M6" i="1"/>
  <c r="AE6" i="1" s="1"/>
  <c r="M17" i="1"/>
  <c r="AE17" i="1" s="1"/>
  <c r="M2" i="1"/>
  <c r="AE2" i="1" s="1"/>
  <c r="M9" i="1"/>
  <c r="AE9" i="1" s="1"/>
  <c r="M12" i="1"/>
  <c r="AE12" i="1" s="1"/>
  <c r="M11" i="1"/>
  <c r="AE11" i="1" s="1"/>
  <c r="M34" i="1"/>
  <c r="AE34" i="1" s="1"/>
  <c r="M28" i="1"/>
  <c r="AE28" i="1" s="1"/>
  <c r="M7" i="1"/>
  <c r="AE7" i="1" s="1"/>
  <c r="M33" i="1"/>
  <c r="AE33" i="1" s="1"/>
  <c r="M16" i="1"/>
  <c r="AE16" i="1" s="1"/>
  <c r="M24" i="1"/>
  <c r="AE24" i="1" s="1"/>
  <c r="M23" i="1"/>
  <c r="AE23" i="1" s="1"/>
  <c r="M26" i="1"/>
  <c r="AE26" i="1" s="1"/>
  <c r="M20" i="1"/>
  <c r="AE20" i="1" s="1"/>
  <c r="M22" i="1"/>
  <c r="AE22" i="1" s="1"/>
  <c r="M29" i="1"/>
  <c r="AE29" i="1" s="1"/>
  <c r="M30" i="1"/>
  <c r="AE30" i="1" s="1"/>
  <c r="M10" i="1"/>
  <c r="AE10" i="1" s="1"/>
  <c r="M32" i="1"/>
  <c r="AE32" i="1" s="1"/>
  <c r="M31" i="1"/>
  <c r="AE31" i="1" s="1"/>
  <c r="M8" i="1"/>
  <c r="AE8" i="1" s="1"/>
  <c r="M19" i="1"/>
  <c r="AE19" i="1" s="1"/>
  <c r="M4" i="1"/>
  <c r="AE4" i="1" s="1"/>
  <c r="M35" i="1"/>
  <c r="AE35" i="1" s="1"/>
  <c r="M5" i="1"/>
  <c r="AE5" i="1" s="1"/>
  <c r="M21" i="1"/>
  <c r="AE21" i="1" s="1"/>
  <c r="M13" i="1"/>
  <c r="AE13" i="1" s="1"/>
  <c r="AA19" i="4" l="1"/>
  <c r="E3" i="1"/>
  <c r="AB3" i="1" s="1"/>
  <c r="E13" i="1"/>
  <c r="E33" i="1"/>
  <c r="E17" i="1"/>
  <c r="AB17" i="1" s="1"/>
  <c r="E18" i="1"/>
  <c r="AB18" i="1" s="1"/>
  <c r="AB13" i="1"/>
  <c r="Z25" i="1"/>
  <c r="Z20" i="4"/>
  <c r="AB33" i="1"/>
  <c r="AB15" i="1"/>
  <c r="AB25" i="1"/>
  <c r="E9" i="4"/>
  <c r="AB9" i="4" s="1"/>
  <c r="E8" i="4"/>
  <c r="AB8" i="4" s="1"/>
  <c r="E14" i="4"/>
  <c r="AB14" i="4" s="1"/>
  <c r="E29" i="4"/>
  <c r="AB29" i="4" s="1"/>
  <c r="E42" i="4"/>
  <c r="AB42" i="4" s="1"/>
  <c r="E24" i="4"/>
  <c r="AB24" i="4" s="1"/>
  <c r="E38" i="4"/>
  <c r="AB38" i="4" s="1"/>
  <c r="E31" i="4"/>
  <c r="AB31" i="4" s="1"/>
  <c r="E16" i="4"/>
  <c r="AB16" i="4" s="1"/>
  <c r="E18" i="4"/>
  <c r="AB18" i="4" s="1"/>
  <c r="E3" i="4"/>
  <c r="AB3" i="4" s="1"/>
  <c r="E12" i="4"/>
  <c r="AB12" i="4" s="1"/>
  <c r="E11" i="4"/>
  <c r="AB11" i="4" s="1"/>
  <c r="E30" i="4"/>
  <c r="AB30" i="4" s="1"/>
  <c r="E22" i="4"/>
  <c r="AB22" i="4" s="1"/>
  <c r="E27" i="4"/>
  <c r="AB27" i="4" s="1"/>
  <c r="E10" i="4"/>
  <c r="AB10" i="4" s="1"/>
  <c r="E19" i="4"/>
  <c r="E34" i="4"/>
  <c r="AB34" i="4" s="1"/>
  <c r="E28" i="4"/>
  <c r="AB28" i="4" s="1"/>
  <c r="E33" i="4"/>
  <c r="AB33" i="4" s="1"/>
  <c r="E2" i="4"/>
  <c r="AB2" i="4" s="1"/>
  <c r="E35" i="4"/>
  <c r="AB35" i="4" s="1"/>
  <c r="E43" i="4"/>
  <c r="AB43" i="4" s="1"/>
  <c r="E32" i="4"/>
  <c r="AB32" i="4" s="1"/>
  <c r="E7" i="4"/>
  <c r="AB7" i="4" s="1"/>
  <c r="E41" i="4"/>
  <c r="AB41" i="4" s="1"/>
  <c r="E25" i="4"/>
  <c r="AB25" i="4" s="1"/>
  <c r="E4" i="4"/>
  <c r="AB4" i="4" s="1"/>
  <c r="E44" i="4"/>
  <c r="AB44" i="4" s="1"/>
  <c r="E39" i="4"/>
  <c r="AB39" i="4" s="1"/>
  <c r="E21" i="4"/>
  <c r="AB21" i="4" s="1"/>
  <c r="E13" i="4"/>
  <c r="AB13" i="4" s="1"/>
  <c r="E37" i="4"/>
  <c r="AB37" i="4" s="1"/>
  <c r="E6" i="4"/>
  <c r="AB6" i="4" s="1"/>
  <c r="E17" i="4"/>
  <c r="AB17" i="4" s="1"/>
  <c r="E40" i="4"/>
  <c r="AB40" i="4" s="1"/>
  <c r="E36" i="4"/>
  <c r="AB36" i="4" s="1"/>
  <c r="E26" i="4"/>
  <c r="AB26" i="4" s="1"/>
  <c r="AB23" i="4"/>
  <c r="AB5" i="4"/>
  <c r="AB15" i="4"/>
  <c r="AB27" i="1"/>
  <c r="Y6" i="2"/>
  <c r="Z23" i="4"/>
  <c r="Z15" i="4"/>
  <c r="Z9" i="4"/>
  <c r="Z14" i="4"/>
  <c r="Z42" i="4"/>
  <c r="Y8" i="2"/>
  <c r="Z5" i="4"/>
  <c r="Z8" i="4"/>
  <c r="Z24" i="4"/>
  <c r="Z25" i="4"/>
  <c r="Z4" i="4"/>
  <c r="Z44" i="4"/>
  <c r="Z21" i="4"/>
  <c r="Z2" i="4"/>
  <c r="Z35" i="4"/>
  <c r="Z43" i="4"/>
  <c r="Z32" i="4"/>
  <c r="Z7" i="4"/>
  <c r="Z41" i="4"/>
  <c r="Z38" i="4"/>
  <c r="Z31" i="4"/>
  <c r="Z16" i="4"/>
  <c r="Z18" i="4"/>
  <c r="Z3" i="4"/>
  <c r="Z12" i="4"/>
  <c r="Z11" i="4"/>
  <c r="Z30" i="4"/>
  <c r="Z22" i="4"/>
  <c r="Z27" i="4"/>
  <c r="Z10" i="4"/>
  <c r="Z19" i="4"/>
  <c r="Z34" i="4"/>
  <c r="Z33" i="4"/>
  <c r="Z29" i="4"/>
  <c r="Z39" i="4"/>
  <c r="Z13" i="4"/>
  <c r="Z37" i="4"/>
  <c r="Z6" i="4"/>
  <c r="Z17" i="4"/>
  <c r="Z40" i="4"/>
  <c r="Z36" i="4"/>
  <c r="Z26" i="4"/>
  <c r="E5" i="1"/>
  <c r="AB5" i="1" s="1"/>
  <c r="E4" i="1"/>
  <c r="AB4" i="1" s="1"/>
  <c r="E8" i="1"/>
  <c r="AB8" i="1" s="1"/>
  <c r="E32" i="1"/>
  <c r="AB32" i="1" s="1"/>
  <c r="E30" i="1"/>
  <c r="AB30" i="1" s="1"/>
  <c r="E29" i="1"/>
  <c r="AB29" i="1" s="1"/>
  <c r="E23" i="1"/>
  <c r="AB23" i="1" s="1"/>
  <c r="E16" i="1"/>
  <c r="AB16" i="1" s="1"/>
  <c r="E34" i="1"/>
  <c r="AB34" i="1" s="1"/>
  <c r="E12" i="1"/>
  <c r="AB12" i="1" s="1"/>
  <c r="E2" i="1"/>
  <c r="AB2" i="1" s="1"/>
  <c r="E14" i="1"/>
  <c r="AB14" i="1" s="1"/>
  <c r="E21" i="1"/>
  <c r="AB21" i="1" s="1"/>
  <c r="E35" i="1"/>
  <c r="AB35" i="1" s="1"/>
  <c r="E19" i="1"/>
  <c r="AB19" i="1" s="1"/>
  <c r="E31" i="1"/>
  <c r="AB31" i="1" s="1"/>
  <c r="E10" i="1"/>
  <c r="AB10" i="1" s="1"/>
  <c r="E22" i="1"/>
  <c r="AB22" i="1" s="1"/>
  <c r="E20" i="1"/>
  <c r="AB20" i="1" s="1"/>
  <c r="E26" i="1"/>
  <c r="AB26" i="1" s="1"/>
  <c r="E24" i="1"/>
  <c r="AB24" i="1" s="1"/>
  <c r="E7" i="1"/>
  <c r="AB7" i="1" s="1"/>
  <c r="E28" i="1"/>
  <c r="AB28" i="1" s="1"/>
  <c r="E11" i="1"/>
  <c r="AB11" i="1" s="1"/>
  <c r="E9" i="1"/>
  <c r="AB9" i="1" s="1"/>
  <c r="E6" i="1"/>
  <c r="AB6" i="1" s="1"/>
  <c r="E36" i="1"/>
  <c r="AB36" i="1" s="1"/>
  <c r="Z28" i="4"/>
  <c r="Z17" i="1"/>
  <c r="Z18" i="1"/>
  <c r="Z3" i="1"/>
  <c r="Z13" i="1"/>
  <c r="Z21" i="1"/>
  <c r="Z35" i="1"/>
  <c r="Z19" i="1"/>
  <c r="Z31" i="1"/>
  <c r="Z32" i="1"/>
  <c r="Z30" i="1"/>
  <c r="Z29" i="1"/>
  <c r="Z27" i="1"/>
  <c r="Z23" i="1"/>
  <c r="Z16" i="1"/>
  <c r="Z15" i="1"/>
  <c r="Z34" i="1"/>
  <c r="Z12" i="1"/>
  <c r="Z2" i="1"/>
  <c r="Z6" i="1"/>
  <c r="Z36" i="1"/>
  <c r="Z5" i="1"/>
  <c r="Z4" i="1"/>
  <c r="Z8" i="1"/>
  <c r="Z10" i="1"/>
  <c r="Z22" i="1"/>
  <c r="Z20" i="1"/>
  <c r="Z26" i="1"/>
  <c r="Z24" i="1"/>
  <c r="Z33" i="1"/>
  <c r="Z7" i="1"/>
  <c r="Z28" i="1"/>
  <c r="Z11" i="1"/>
  <c r="Z9" i="1"/>
  <c r="Z14" i="1"/>
  <c r="Y5" i="2"/>
  <c r="Y3" i="2"/>
  <c r="Y7" i="2"/>
  <c r="Y4" i="2"/>
  <c r="AI14" i="1" l="1"/>
  <c r="AJ14" i="1" s="1"/>
  <c r="AM14" i="1" s="1"/>
  <c r="AK14" i="1" s="1"/>
  <c r="AL14" i="1" s="1"/>
  <c r="AF14" i="1"/>
  <c r="AG14" i="1" s="1"/>
  <c r="AI11" i="1"/>
  <c r="AJ11" i="1" s="1"/>
  <c r="AM11" i="1" s="1"/>
  <c r="AK11" i="1" s="1"/>
  <c r="AL11" i="1" s="1"/>
  <c r="AF11" i="1"/>
  <c r="AG11" i="1" s="1"/>
  <c r="AI7" i="1"/>
  <c r="AJ7" i="1" s="1"/>
  <c r="AM7" i="1" s="1"/>
  <c r="AK7" i="1" s="1"/>
  <c r="AL7" i="1" s="1"/>
  <c r="AF7" i="1"/>
  <c r="AG7" i="1" s="1"/>
  <c r="AI24" i="1"/>
  <c r="AJ24" i="1" s="1"/>
  <c r="AM24" i="1" s="1"/>
  <c r="AK24" i="1" s="1"/>
  <c r="AL24" i="1" s="1"/>
  <c r="AF24" i="1"/>
  <c r="AG24" i="1" s="1"/>
  <c r="AI20" i="1"/>
  <c r="AJ20" i="1" s="1"/>
  <c r="AM20" i="1" s="1"/>
  <c r="AK20" i="1" s="1"/>
  <c r="AL20" i="1" s="1"/>
  <c r="AF20" i="1"/>
  <c r="AG20" i="1" s="1"/>
  <c r="AI10" i="1"/>
  <c r="AJ10" i="1" s="1"/>
  <c r="AM10" i="1" s="1"/>
  <c r="AK10" i="1" s="1"/>
  <c r="AL10" i="1" s="1"/>
  <c r="AF10" i="1"/>
  <c r="AG10" i="1" s="1"/>
  <c r="AI4" i="1"/>
  <c r="AJ4" i="1" s="1"/>
  <c r="AM4" i="1" s="1"/>
  <c r="AK4" i="1" s="1"/>
  <c r="AL4" i="1" s="1"/>
  <c r="AF4" i="1"/>
  <c r="AG4" i="1" s="1"/>
  <c r="AI36" i="1"/>
  <c r="AJ36" i="1" s="1"/>
  <c r="AM36" i="1" s="1"/>
  <c r="AK36" i="1" s="1"/>
  <c r="AL36" i="1" s="1"/>
  <c r="AF36" i="1"/>
  <c r="AG36" i="1" s="1"/>
  <c r="AI2" i="1"/>
  <c r="AJ2" i="1" s="1"/>
  <c r="AM2" i="1" s="1"/>
  <c r="AK2" i="1" s="1"/>
  <c r="AL2" i="1" s="1"/>
  <c r="AF2" i="1"/>
  <c r="AG2" i="1" s="1"/>
  <c r="AI34" i="1"/>
  <c r="AJ34" i="1" s="1"/>
  <c r="AM34" i="1" s="1"/>
  <c r="AK34" i="1" s="1"/>
  <c r="AL34" i="1" s="1"/>
  <c r="AF34" i="1"/>
  <c r="AG34" i="1" s="1"/>
  <c r="AI16" i="1"/>
  <c r="AJ16" i="1" s="1"/>
  <c r="AM16" i="1" s="1"/>
  <c r="AK16" i="1" s="1"/>
  <c r="AL16" i="1" s="1"/>
  <c r="AF16" i="1"/>
  <c r="AG16" i="1" s="1"/>
  <c r="AI27" i="1"/>
  <c r="AJ27" i="1" s="1"/>
  <c r="AM27" i="1" s="1"/>
  <c r="AF27" i="1"/>
  <c r="AG27" i="1" s="1"/>
  <c r="AI30" i="1"/>
  <c r="AJ30" i="1" s="1"/>
  <c r="AM30" i="1" s="1"/>
  <c r="AK30" i="1" s="1"/>
  <c r="AL30" i="1" s="1"/>
  <c r="AF30" i="1"/>
  <c r="AG30" i="1" s="1"/>
  <c r="AI31" i="1"/>
  <c r="AJ31" i="1" s="1"/>
  <c r="AM31" i="1" s="1"/>
  <c r="AK31" i="1" s="1"/>
  <c r="AL31" i="1" s="1"/>
  <c r="AF31" i="1"/>
  <c r="AG31" i="1" s="1"/>
  <c r="AI35" i="1"/>
  <c r="AJ35" i="1" s="1"/>
  <c r="AM35" i="1" s="1"/>
  <c r="AK35" i="1" s="1"/>
  <c r="AL35" i="1" s="1"/>
  <c r="AF35" i="1"/>
  <c r="AG35" i="1" s="1"/>
  <c r="AI13" i="1"/>
  <c r="AJ13" i="1" s="1"/>
  <c r="AM13" i="1" s="1"/>
  <c r="AK13" i="1" s="1"/>
  <c r="AL13" i="1" s="1"/>
  <c r="AF13" i="1"/>
  <c r="AG13" i="1" s="1"/>
  <c r="AI18" i="1"/>
  <c r="AJ18" i="1" s="1"/>
  <c r="AM18" i="1" s="1"/>
  <c r="AK18" i="1" s="1"/>
  <c r="AL18" i="1" s="1"/>
  <c r="AF18" i="1"/>
  <c r="AG18" i="1" s="1"/>
  <c r="AI25" i="1"/>
  <c r="AJ25" i="1" s="1"/>
  <c r="AM25" i="1" s="1"/>
  <c r="AK25" i="1" s="1"/>
  <c r="AL25" i="1" s="1"/>
  <c r="AF25" i="1"/>
  <c r="AG25" i="1" s="1"/>
  <c r="AI9" i="1"/>
  <c r="AJ9" i="1" s="1"/>
  <c r="AM9" i="1" s="1"/>
  <c r="AK9" i="1" s="1"/>
  <c r="AL9" i="1" s="1"/>
  <c r="AF9" i="1"/>
  <c r="AG9" i="1" s="1"/>
  <c r="AI28" i="1"/>
  <c r="AJ28" i="1" s="1"/>
  <c r="AM28" i="1" s="1"/>
  <c r="AK28" i="1" s="1"/>
  <c r="AL28" i="1" s="1"/>
  <c r="AF28" i="1"/>
  <c r="AG28" i="1" s="1"/>
  <c r="AI33" i="1"/>
  <c r="AJ33" i="1" s="1"/>
  <c r="AM33" i="1" s="1"/>
  <c r="AK33" i="1" s="1"/>
  <c r="AL33" i="1" s="1"/>
  <c r="AF33" i="1"/>
  <c r="AG33" i="1" s="1"/>
  <c r="AI26" i="1"/>
  <c r="AJ26" i="1" s="1"/>
  <c r="AM26" i="1" s="1"/>
  <c r="AK26" i="1" s="1"/>
  <c r="AL26" i="1" s="1"/>
  <c r="AF26" i="1"/>
  <c r="AG26" i="1" s="1"/>
  <c r="AI22" i="1"/>
  <c r="AJ22" i="1" s="1"/>
  <c r="AM22" i="1" s="1"/>
  <c r="AK22" i="1" s="1"/>
  <c r="AL22" i="1" s="1"/>
  <c r="AF22" i="1"/>
  <c r="AG22" i="1" s="1"/>
  <c r="AI8" i="1"/>
  <c r="AJ8" i="1" s="1"/>
  <c r="AM8" i="1" s="1"/>
  <c r="AK8" i="1" s="1"/>
  <c r="AL8" i="1" s="1"/>
  <c r="AF8" i="1"/>
  <c r="AG8" i="1" s="1"/>
  <c r="AI5" i="1"/>
  <c r="AJ5" i="1" s="1"/>
  <c r="AM5" i="1" s="1"/>
  <c r="AK5" i="1" s="1"/>
  <c r="AL5" i="1" s="1"/>
  <c r="AF5" i="1"/>
  <c r="AG5" i="1" s="1"/>
  <c r="AI6" i="1"/>
  <c r="AJ6" i="1" s="1"/>
  <c r="AM6" i="1" s="1"/>
  <c r="AK6" i="1" s="1"/>
  <c r="AL6" i="1" s="1"/>
  <c r="AF6" i="1"/>
  <c r="AG6" i="1" s="1"/>
  <c r="AI12" i="1"/>
  <c r="AJ12" i="1" s="1"/>
  <c r="AM12" i="1" s="1"/>
  <c r="AK12" i="1" s="1"/>
  <c r="AL12" i="1" s="1"/>
  <c r="AF12" i="1"/>
  <c r="AG12" i="1" s="1"/>
  <c r="AI15" i="1"/>
  <c r="AJ15" i="1" s="1"/>
  <c r="AM15" i="1" s="1"/>
  <c r="AK15" i="1" s="1"/>
  <c r="AL15" i="1" s="1"/>
  <c r="AF15" i="1"/>
  <c r="AG15" i="1" s="1"/>
  <c r="AI23" i="1"/>
  <c r="AJ23" i="1" s="1"/>
  <c r="AM23" i="1" s="1"/>
  <c r="AK23" i="1" s="1"/>
  <c r="AL23" i="1" s="1"/>
  <c r="AF23" i="1"/>
  <c r="AG23" i="1" s="1"/>
  <c r="AI29" i="1"/>
  <c r="AJ29" i="1" s="1"/>
  <c r="AM29" i="1" s="1"/>
  <c r="AK29" i="1" s="1"/>
  <c r="AL29" i="1" s="1"/>
  <c r="AF29" i="1"/>
  <c r="AG29" i="1" s="1"/>
  <c r="AI32" i="1"/>
  <c r="AJ32" i="1" s="1"/>
  <c r="AM32" i="1" s="1"/>
  <c r="AK32" i="1" s="1"/>
  <c r="AL32" i="1" s="1"/>
  <c r="AF32" i="1"/>
  <c r="AG32" i="1" s="1"/>
  <c r="AI19" i="1"/>
  <c r="AJ19" i="1" s="1"/>
  <c r="AM19" i="1" s="1"/>
  <c r="AK19" i="1" s="1"/>
  <c r="AL19" i="1" s="1"/>
  <c r="AF19" i="1"/>
  <c r="AG19" i="1" s="1"/>
  <c r="AI21" i="1"/>
  <c r="AJ21" i="1" s="1"/>
  <c r="AM21" i="1" s="1"/>
  <c r="AK21" i="1" s="1"/>
  <c r="AL21" i="1" s="1"/>
  <c r="AF21" i="1"/>
  <c r="AG21" i="1" s="1"/>
  <c r="AI3" i="1"/>
  <c r="AJ3" i="1" s="1"/>
  <c r="AM3" i="1" s="1"/>
  <c r="AK3" i="1" s="1"/>
  <c r="AL3" i="1" s="1"/>
  <c r="AF3" i="1"/>
  <c r="AG3" i="1" s="1"/>
  <c r="AI17" i="1"/>
  <c r="AJ17" i="1" s="1"/>
  <c r="AM17" i="1" s="1"/>
  <c r="AK17" i="1" s="1"/>
  <c r="AL17" i="1" s="1"/>
  <c r="AF17" i="1"/>
  <c r="AG17" i="1" s="1"/>
  <c r="AI36" i="4"/>
  <c r="AJ36" i="4" s="1"/>
  <c r="AM36" i="4" s="1"/>
  <c r="AK36" i="4" s="1"/>
  <c r="AL36" i="4" s="1"/>
  <c r="AF36" i="4"/>
  <c r="AG36" i="4" s="1"/>
  <c r="AI17" i="4"/>
  <c r="AJ17" i="4" s="1"/>
  <c r="AM17" i="4" s="1"/>
  <c r="AK17" i="4" s="1"/>
  <c r="AL17" i="4" s="1"/>
  <c r="AF17" i="4"/>
  <c r="AG17" i="4" s="1"/>
  <c r="AI37" i="4"/>
  <c r="AJ37" i="4" s="1"/>
  <c r="AM37" i="4" s="1"/>
  <c r="AK37" i="4" s="1"/>
  <c r="AL37" i="4" s="1"/>
  <c r="AF37" i="4"/>
  <c r="AG37" i="4" s="1"/>
  <c r="AI39" i="4"/>
  <c r="AJ39" i="4" s="1"/>
  <c r="AM39" i="4" s="1"/>
  <c r="AK39" i="4" s="1"/>
  <c r="AL39" i="4" s="1"/>
  <c r="AF39" i="4"/>
  <c r="AG39" i="4" s="1"/>
  <c r="AI33" i="4"/>
  <c r="AJ33" i="4" s="1"/>
  <c r="AM33" i="4" s="1"/>
  <c r="AK33" i="4" s="1"/>
  <c r="AL33" i="4" s="1"/>
  <c r="AF33" i="4"/>
  <c r="AG33" i="4" s="1"/>
  <c r="AI27" i="4"/>
  <c r="AJ27" i="4" s="1"/>
  <c r="AM27" i="4" s="1"/>
  <c r="AK27" i="4" s="1"/>
  <c r="AL27" i="4" s="1"/>
  <c r="AF27" i="4"/>
  <c r="AG27" i="4" s="1"/>
  <c r="AI30" i="4"/>
  <c r="AJ30" i="4" s="1"/>
  <c r="AM30" i="4" s="1"/>
  <c r="AK30" i="4" s="1"/>
  <c r="AL30" i="4" s="1"/>
  <c r="AF30" i="4"/>
  <c r="AG30" i="4" s="1"/>
  <c r="AI12" i="4"/>
  <c r="AJ12" i="4" s="1"/>
  <c r="AM12" i="4" s="1"/>
  <c r="AK12" i="4" s="1"/>
  <c r="AL12" i="4" s="1"/>
  <c r="AF12" i="4"/>
  <c r="AG12" i="4" s="1"/>
  <c r="AI18" i="4"/>
  <c r="AJ18" i="4" s="1"/>
  <c r="AM18" i="4" s="1"/>
  <c r="AK18" i="4" s="1"/>
  <c r="AL18" i="4" s="1"/>
  <c r="AF18" i="4"/>
  <c r="AG18" i="4" s="1"/>
  <c r="AI31" i="4"/>
  <c r="AJ31" i="4" s="1"/>
  <c r="AM31" i="4" s="1"/>
  <c r="AK31" i="4" s="1"/>
  <c r="AL31" i="4" s="1"/>
  <c r="AF31" i="4"/>
  <c r="AG31" i="4" s="1"/>
  <c r="AI41" i="4"/>
  <c r="AJ41" i="4" s="1"/>
  <c r="AM41" i="4" s="1"/>
  <c r="AK41" i="4" s="1"/>
  <c r="AL41" i="4" s="1"/>
  <c r="AF41" i="4"/>
  <c r="AG41" i="4" s="1"/>
  <c r="AI32" i="4"/>
  <c r="AJ32" i="4" s="1"/>
  <c r="AM32" i="4" s="1"/>
  <c r="AK32" i="4" s="1"/>
  <c r="AL32" i="4" s="1"/>
  <c r="AF32" i="4"/>
  <c r="AG32" i="4" s="1"/>
  <c r="AI35" i="4"/>
  <c r="AJ35" i="4" s="1"/>
  <c r="AM35" i="4" s="1"/>
  <c r="AK35" i="4" s="1"/>
  <c r="AL35" i="4" s="1"/>
  <c r="AF35" i="4"/>
  <c r="AG35" i="4" s="1"/>
  <c r="AI21" i="4"/>
  <c r="AJ21" i="4" s="1"/>
  <c r="AM21" i="4" s="1"/>
  <c r="AK21" i="4" s="1"/>
  <c r="AL21" i="4" s="1"/>
  <c r="AF21" i="4"/>
  <c r="AG21" i="4" s="1"/>
  <c r="AI4" i="4"/>
  <c r="AJ4" i="4" s="1"/>
  <c r="AM4" i="4" s="1"/>
  <c r="AK4" i="4" s="1"/>
  <c r="AL4" i="4" s="1"/>
  <c r="AF4" i="4"/>
  <c r="AG4" i="4" s="1"/>
  <c r="AI24" i="4"/>
  <c r="AJ24" i="4" s="1"/>
  <c r="AM24" i="4" s="1"/>
  <c r="AK24" i="4" s="1"/>
  <c r="AL24" i="4" s="1"/>
  <c r="AF24" i="4"/>
  <c r="AG24" i="4" s="1"/>
  <c r="AI5" i="4"/>
  <c r="AJ5" i="4" s="1"/>
  <c r="AM5" i="4" s="1"/>
  <c r="AF5" i="4"/>
  <c r="AG5" i="4" s="1"/>
  <c r="AI42" i="4"/>
  <c r="AJ42" i="4" s="1"/>
  <c r="AM42" i="4" s="1"/>
  <c r="AK42" i="4" s="1"/>
  <c r="AL42" i="4" s="1"/>
  <c r="AF42" i="4"/>
  <c r="AG42" i="4" s="1"/>
  <c r="AI9" i="4"/>
  <c r="AJ9" i="4" s="1"/>
  <c r="AM9" i="4" s="1"/>
  <c r="AK9" i="4" s="1"/>
  <c r="AL9" i="4" s="1"/>
  <c r="AF9" i="4"/>
  <c r="AG9" i="4" s="1"/>
  <c r="AI23" i="4"/>
  <c r="AJ23" i="4" s="1"/>
  <c r="AM23" i="4" s="1"/>
  <c r="AF23" i="4"/>
  <c r="AG23" i="4" s="1"/>
  <c r="AI20" i="4"/>
  <c r="AJ20" i="4" s="1"/>
  <c r="AM20" i="4" s="1"/>
  <c r="AF20" i="4"/>
  <c r="AG20" i="4" s="1"/>
  <c r="AF19" i="4"/>
  <c r="AG19" i="4" s="1"/>
  <c r="AI28" i="4"/>
  <c r="AJ28" i="4" s="1"/>
  <c r="AM28" i="4" s="1"/>
  <c r="AK28" i="4" s="1"/>
  <c r="AL28" i="4" s="1"/>
  <c r="AF28" i="4"/>
  <c r="AG28" i="4" s="1"/>
  <c r="AI26" i="4"/>
  <c r="AJ26" i="4" s="1"/>
  <c r="AM26" i="4" s="1"/>
  <c r="AK26" i="4" s="1"/>
  <c r="AL26" i="4" s="1"/>
  <c r="AF26" i="4"/>
  <c r="AG26" i="4" s="1"/>
  <c r="AI40" i="4"/>
  <c r="AJ40" i="4" s="1"/>
  <c r="AM40" i="4" s="1"/>
  <c r="AK40" i="4" s="1"/>
  <c r="AL40" i="4" s="1"/>
  <c r="AF40" i="4"/>
  <c r="AG40" i="4" s="1"/>
  <c r="AI6" i="4"/>
  <c r="AJ6" i="4" s="1"/>
  <c r="AM6" i="4" s="1"/>
  <c r="AK6" i="4" s="1"/>
  <c r="AL6" i="4" s="1"/>
  <c r="AF6" i="4"/>
  <c r="AG6" i="4" s="1"/>
  <c r="AI13" i="4"/>
  <c r="AJ13" i="4" s="1"/>
  <c r="AM13" i="4" s="1"/>
  <c r="AK13" i="4" s="1"/>
  <c r="AL13" i="4" s="1"/>
  <c r="AF13" i="4"/>
  <c r="AG13" i="4" s="1"/>
  <c r="AI29" i="4"/>
  <c r="AJ29" i="4" s="1"/>
  <c r="AM29" i="4" s="1"/>
  <c r="AK29" i="4" s="1"/>
  <c r="AL29" i="4" s="1"/>
  <c r="AF29" i="4"/>
  <c r="AG29" i="4" s="1"/>
  <c r="AI34" i="4"/>
  <c r="AJ34" i="4" s="1"/>
  <c r="AM34" i="4" s="1"/>
  <c r="AK34" i="4" s="1"/>
  <c r="AL34" i="4" s="1"/>
  <c r="AF34" i="4"/>
  <c r="AG34" i="4" s="1"/>
  <c r="AI10" i="4"/>
  <c r="AJ10" i="4" s="1"/>
  <c r="AM10" i="4" s="1"/>
  <c r="AK10" i="4" s="1"/>
  <c r="AL10" i="4" s="1"/>
  <c r="AF10" i="4"/>
  <c r="AG10" i="4" s="1"/>
  <c r="AI22" i="4"/>
  <c r="AJ22" i="4" s="1"/>
  <c r="AM22" i="4" s="1"/>
  <c r="AK22" i="4" s="1"/>
  <c r="AL22" i="4" s="1"/>
  <c r="AF22" i="4"/>
  <c r="AG22" i="4" s="1"/>
  <c r="AI11" i="4"/>
  <c r="AJ11" i="4" s="1"/>
  <c r="AM11" i="4" s="1"/>
  <c r="AK11" i="4" s="1"/>
  <c r="AL11" i="4" s="1"/>
  <c r="AF11" i="4"/>
  <c r="AG11" i="4" s="1"/>
  <c r="AI3" i="4"/>
  <c r="AJ3" i="4" s="1"/>
  <c r="AM3" i="4" s="1"/>
  <c r="AK3" i="4" s="1"/>
  <c r="AL3" i="4" s="1"/>
  <c r="AF3" i="4"/>
  <c r="AG3" i="4" s="1"/>
  <c r="AI16" i="4"/>
  <c r="AJ16" i="4" s="1"/>
  <c r="AM16" i="4" s="1"/>
  <c r="AK16" i="4" s="1"/>
  <c r="AL16" i="4" s="1"/>
  <c r="AF16" i="4"/>
  <c r="AG16" i="4" s="1"/>
  <c r="AI38" i="4"/>
  <c r="AJ38" i="4" s="1"/>
  <c r="AM38" i="4" s="1"/>
  <c r="AK38" i="4" s="1"/>
  <c r="AL38" i="4" s="1"/>
  <c r="AF38" i="4"/>
  <c r="AG38" i="4" s="1"/>
  <c r="AI7" i="4"/>
  <c r="AJ7" i="4" s="1"/>
  <c r="AM7" i="4" s="1"/>
  <c r="AK7" i="4" s="1"/>
  <c r="AL7" i="4" s="1"/>
  <c r="AF7" i="4"/>
  <c r="AG7" i="4" s="1"/>
  <c r="AI43" i="4"/>
  <c r="AJ43" i="4" s="1"/>
  <c r="AM43" i="4" s="1"/>
  <c r="AK43" i="4" s="1"/>
  <c r="AL43" i="4" s="1"/>
  <c r="AF43" i="4"/>
  <c r="AG43" i="4" s="1"/>
  <c r="AI2" i="4"/>
  <c r="AJ2" i="4" s="1"/>
  <c r="AM2" i="4" s="1"/>
  <c r="AK2" i="4" s="1"/>
  <c r="AL2" i="4" s="1"/>
  <c r="AF2" i="4"/>
  <c r="AG2" i="4" s="1"/>
  <c r="AI44" i="4"/>
  <c r="AJ44" i="4" s="1"/>
  <c r="AM44" i="4" s="1"/>
  <c r="AK44" i="4" s="1"/>
  <c r="AL44" i="4" s="1"/>
  <c r="AF44" i="4"/>
  <c r="AG44" i="4" s="1"/>
  <c r="AI25" i="4"/>
  <c r="AJ25" i="4" s="1"/>
  <c r="AM25" i="4" s="1"/>
  <c r="AK25" i="4" s="1"/>
  <c r="AL25" i="4" s="1"/>
  <c r="AF25" i="4"/>
  <c r="AG25" i="4" s="1"/>
  <c r="AI8" i="4"/>
  <c r="AJ8" i="4" s="1"/>
  <c r="AM8" i="4" s="1"/>
  <c r="AK8" i="4" s="1"/>
  <c r="AL8" i="4" s="1"/>
  <c r="AF8" i="4"/>
  <c r="AG8" i="4" s="1"/>
  <c r="AI14" i="4"/>
  <c r="AJ14" i="4" s="1"/>
  <c r="AM14" i="4" s="1"/>
  <c r="AK14" i="4" s="1"/>
  <c r="AL14" i="4" s="1"/>
  <c r="AF14" i="4"/>
  <c r="AG14" i="4" s="1"/>
  <c r="AI15" i="4"/>
  <c r="AJ15" i="4" s="1"/>
  <c r="AM15" i="4" s="1"/>
  <c r="AK15" i="4" s="1"/>
  <c r="AL15" i="4" s="1"/>
  <c r="AF15" i="4"/>
  <c r="AG15" i="4" s="1"/>
  <c r="AC25" i="1"/>
  <c r="AK5" i="4"/>
  <c r="AL5" i="4" s="1"/>
  <c r="AK23" i="4"/>
  <c r="AL23" i="4" s="1"/>
  <c r="AK20" i="4"/>
  <c r="AL20" i="4" s="1"/>
  <c r="AI19" i="4"/>
  <c r="AJ19" i="4" s="1"/>
  <c r="AM19" i="4" s="1"/>
  <c r="AK27" i="1"/>
  <c r="AL27" i="1" s="1"/>
  <c r="AC20" i="4"/>
  <c r="AB19" i="4"/>
  <c r="AC33" i="1"/>
  <c r="AC36" i="1"/>
  <c r="AC34" i="1"/>
  <c r="AC23" i="1"/>
  <c r="AC30" i="1"/>
  <c r="AC35" i="1"/>
  <c r="AC28" i="4"/>
  <c r="AC36" i="4"/>
  <c r="AC40" i="4"/>
  <c r="AC6" i="4"/>
  <c r="AC13" i="4"/>
  <c r="AC29" i="4"/>
  <c r="AC34" i="4"/>
  <c r="AC10" i="4"/>
  <c r="AC22" i="4"/>
  <c r="AC11" i="4"/>
  <c r="AC3" i="4"/>
  <c r="AC16" i="4"/>
  <c r="AC38" i="4"/>
  <c r="AC7" i="4"/>
  <c r="AC43" i="4"/>
  <c r="AC2" i="4"/>
  <c r="AC44" i="4"/>
  <c r="AC25" i="4"/>
  <c r="AC8" i="4"/>
  <c r="AC42" i="4"/>
  <c r="AC9" i="4"/>
  <c r="AC23" i="4"/>
  <c r="AC17" i="1"/>
  <c r="AC26" i="4"/>
  <c r="AC17" i="4"/>
  <c r="AC37" i="4"/>
  <c r="AC39" i="4"/>
  <c r="AC33" i="4"/>
  <c r="AC19" i="4"/>
  <c r="AC27" i="4"/>
  <c r="AC30" i="4"/>
  <c r="AC12" i="4"/>
  <c r="AC18" i="4"/>
  <c r="AC31" i="4"/>
  <c r="AC41" i="4"/>
  <c r="AC32" i="4"/>
  <c r="AC35" i="4"/>
  <c r="AC21" i="4"/>
  <c r="AC4" i="4"/>
  <c r="AC24" i="4"/>
  <c r="AC5" i="4"/>
  <c r="AC14" i="4"/>
  <c r="AC15" i="4"/>
  <c r="AC28" i="1"/>
  <c r="AC26" i="1"/>
  <c r="AC11" i="1"/>
  <c r="AC7" i="1"/>
  <c r="AC24" i="1"/>
  <c r="AC20" i="1"/>
  <c r="AC10" i="1"/>
  <c r="AC4" i="1"/>
  <c r="AC6" i="1"/>
  <c r="AC12" i="1"/>
  <c r="AC16" i="1"/>
  <c r="AC32" i="1"/>
  <c r="AC19" i="1"/>
  <c r="AC21" i="1"/>
  <c r="AC18" i="1"/>
  <c r="AC9" i="1"/>
  <c r="AC5" i="1"/>
  <c r="AC15" i="1"/>
  <c r="AC27" i="1"/>
  <c r="AC31" i="1"/>
  <c r="AC29" i="1"/>
  <c r="AC3" i="1"/>
  <c r="AC14" i="1"/>
  <c r="AC22" i="1"/>
  <c r="AC8" i="1"/>
  <c r="AC2" i="1"/>
  <c r="AC13" i="1"/>
  <c r="AN17" i="1" l="1"/>
  <c r="AO17" i="1" s="1"/>
  <c r="AP17" i="1" s="1"/>
  <c r="AN3" i="1"/>
  <c r="AO3" i="1" s="1"/>
  <c r="AP3" i="1" s="1"/>
  <c r="AN21" i="1"/>
  <c r="AO21" i="1" s="1"/>
  <c r="AN19" i="1"/>
  <c r="AO19" i="1" s="1"/>
  <c r="AN32" i="1"/>
  <c r="AO32" i="1" s="1"/>
  <c r="AN29" i="1"/>
  <c r="AO29" i="1" s="1"/>
  <c r="AN23" i="1"/>
  <c r="AO23" i="1" s="1"/>
  <c r="AN15" i="1"/>
  <c r="AO15" i="1" s="1"/>
  <c r="AN12" i="1"/>
  <c r="AO12" i="1" s="1"/>
  <c r="AP12" i="1" s="1"/>
  <c r="AN6" i="1"/>
  <c r="AO6" i="1" s="1"/>
  <c r="AP6" i="1" s="1"/>
  <c r="AN5" i="1"/>
  <c r="AO5" i="1" s="1"/>
  <c r="AP5" i="1" s="1"/>
  <c r="AN8" i="1"/>
  <c r="AO8" i="1" s="1"/>
  <c r="AP8" i="1" s="1"/>
  <c r="AN22" i="1"/>
  <c r="AO22" i="1" s="1"/>
  <c r="AN26" i="1"/>
  <c r="AO26" i="1" s="1"/>
  <c r="AN33" i="1"/>
  <c r="AO33" i="1" s="1"/>
  <c r="AN28" i="1"/>
  <c r="AO28" i="1" s="1"/>
  <c r="AN9" i="1"/>
  <c r="AO9" i="1" s="1"/>
  <c r="AP9" i="1" s="1"/>
  <c r="AN25" i="1"/>
  <c r="AO25" i="1" s="1"/>
  <c r="AN18" i="1"/>
  <c r="AO18" i="1" s="1"/>
  <c r="AP18" i="1" s="1"/>
  <c r="AN13" i="1"/>
  <c r="AO13" i="1" s="1"/>
  <c r="AP13" i="1" s="1"/>
  <c r="AN35" i="1"/>
  <c r="AO35" i="1" s="1"/>
  <c r="AN31" i="1"/>
  <c r="AO31" i="1" s="1"/>
  <c r="AN30" i="1"/>
  <c r="AO30" i="1" s="1"/>
  <c r="AN27" i="1"/>
  <c r="AO27" i="1" s="1"/>
  <c r="AN16" i="1"/>
  <c r="AO16" i="1" s="1"/>
  <c r="AP16" i="1" s="1"/>
  <c r="AN34" i="1"/>
  <c r="AO34" i="1" s="1"/>
  <c r="AN2" i="1"/>
  <c r="AO2" i="1" s="1"/>
  <c r="AP2" i="1" s="1"/>
  <c r="AN36" i="1"/>
  <c r="AO36" i="1" s="1"/>
  <c r="AN4" i="1"/>
  <c r="AO4" i="1" s="1"/>
  <c r="AN10" i="1"/>
  <c r="AO10" i="1" s="1"/>
  <c r="AN20" i="1"/>
  <c r="AO20" i="1" s="1"/>
  <c r="AN24" i="1"/>
  <c r="AO24" i="1" s="1"/>
  <c r="AN7" i="1"/>
  <c r="AO7" i="1" s="1"/>
  <c r="AN11" i="1"/>
  <c r="AO11" i="1" s="1"/>
  <c r="AP11" i="1" s="1"/>
  <c r="AN14" i="1"/>
  <c r="AO14" i="1" s="1"/>
  <c r="AP14" i="1" s="1"/>
  <c r="AN20" i="4"/>
  <c r="AO20" i="4" s="1"/>
  <c r="AN23" i="4"/>
  <c r="AO23" i="4" s="1"/>
  <c r="AN9" i="4"/>
  <c r="AO9" i="4" s="1"/>
  <c r="AP9" i="4" s="1"/>
  <c r="AN42" i="4"/>
  <c r="AO42" i="4" s="1"/>
  <c r="AP42" i="4" s="1"/>
  <c r="AN5" i="4"/>
  <c r="AO5" i="4" s="1"/>
  <c r="AN24" i="4"/>
  <c r="AO24" i="4" s="1"/>
  <c r="AP24" i="4" s="1"/>
  <c r="AN4" i="4"/>
  <c r="AO4" i="4" s="1"/>
  <c r="AP4" i="4" s="1"/>
  <c r="AN21" i="4"/>
  <c r="AO21" i="4" s="1"/>
  <c r="AP21" i="4" s="1"/>
  <c r="AN35" i="4"/>
  <c r="AO35" i="4" s="1"/>
  <c r="AQ35" i="4" s="1"/>
  <c r="AN32" i="4"/>
  <c r="AO32" i="4" s="1"/>
  <c r="AP32" i="4" s="1"/>
  <c r="AN41" i="4"/>
  <c r="AO41" i="4" s="1"/>
  <c r="AP41" i="4" s="1"/>
  <c r="AN31" i="4"/>
  <c r="AO31" i="4" s="1"/>
  <c r="AP31" i="4" s="1"/>
  <c r="AN18" i="4"/>
  <c r="AO18" i="4" s="1"/>
  <c r="AQ18" i="4" s="1"/>
  <c r="AN12" i="4"/>
  <c r="AO12" i="4" s="1"/>
  <c r="AP12" i="4" s="1"/>
  <c r="AN30" i="4"/>
  <c r="AO30" i="4" s="1"/>
  <c r="AP30" i="4" s="1"/>
  <c r="AN27" i="4"/>
  <c r="AO27" i="4" s="1"/>
  <c r="AP27" i="4" s="1"/>
  <c r="AN33" i="4"/>
  <c r="AO33" i="4" s="1"/>
  <c r="AP33" i="4" s="1"/>
  <c r="AN39" i="4"/>
  <c r="AO39" i="4" s="1"/>
  <c r="AQ39" i="4" s="1"/>
  <c r="AN37" i="4"/>
  <c r="AO37" i="4" s="1"/>
  <c r="AP37" i="4" s="1"/>
  <c r="AN17" i="4"/>
  <c r="AO17" i="4" s="1"/>
  <c r="AP17" i="4" s="1"/>
  <c r="AN36" i="4"/>
  <c r="AO36" i="4" s="1"/>
  <c r="AP36" i="4" s="1"/>
  <c r="AN15" i="4"/>
  <c r="AO15" i="4" s="1"/>
  <c r="AN14" i="4"/>
  <c r="AO14" i="4" s="1"/>
  <c r="AP14" i="4" s="1"/>
  <c r="AN8" i="4"/>
  <c r="AO8" i="4" s="1"/>
  <c r="AN25" i="4"/>
  <c r="AO25" i="4" s="1"/>
  <c r="AP25" i="4" s="1"/>
  <c r="AN44" i="4"/>
  <c r="AO44" i="4" s="1"/>
  <c r="AN2" i="4"/>
  <c r="AO2" i="4" s="1"/>
  <c r="AN43" i="4"/>
  <c r="AO43" i="4" s="1"/>
  <c r="AP43" i="4" s="1"/>
  <c r="AN7" i="4"/>
  <c r="AO7" i="4" s="1"/>
  <c r="AN38" i="4"/>
  <c r="AO38" i="4" s="1"/>
  <c r="AN16" i="4"/>
  <c r="AO16" i="4" s="1"/>
  <c r="AP16" i="4" s="1"/>
  <c r="AN3" i="4"/>
  <c r="AO3" i="4" s="1"/>
  <c r="AP3" i="4" s="1"/>
  <c r="AN11" i="4"/>
  <c r="AO11" i="4" s="1"/>
  <c r="AN22" i="4"/>
  <c r="AO22" i="4" s="1"/>
  <c r="AP22" i="4" s="1"/>
  <c r="AN10" i="4"/>
  <c r="AO10" i="4" s="1"/>
  <c r="AN34" i="4"/>
  <c r="AO34" i="4" s="1"/>
  <c r="AN29" i="4"/>
  <c r="AO29" i="4" s="1"/>
  <c r="AP29" i="4" s="1"/>
  <c r="AN13" i="4"/>
  <c r="AO13" i="4" s="1"/>
  <c r="AP13" i="4" s="1"/>
  <c r="AN6" i="4"/>
  <c r="AO6" i="4" s="1"/>
  <c r="AN40" i="4"/>
  <c r="AO40" i="4" s="1"/>
  <c r="AQ40" i="4" s="1"/>
  <c r="AN26" i="4"/>
  <c r="AO26" i="4" s="1"/>
  <c r="AQ26" i="4" s="1"/>
  <c r="AN28" i="4"/>
  <c r="AO28" i="4" s="1"/>
  <c r="AK19" i="4"/>
  <c r="AL19" i="4" s="1"/>
  <c r="AP21" i="1"/>
  <c r="AP29" i="1"/>
  <c r="AP23" i="1"/>
  <c r="AP26" i="1"/>
  <c r="AP27" i="1"/>
  <c r="AP22" i="1"/>
  <c r="AP32" i="1"/>
  <c r="AP34" i="1" l="1"/>
  <c r="AP28" i="1"/>
  <c r="AP35" i="1"/>
  <c r="AP30" i="1"/>
  <c r="AP36" i="1"/>
  <c r="AP24" i="1"/>
  <c r="AP31" i="1"/>
  <c r="AP10" i="1"/>
  <c r="AP33" i="1"/>
  <c r="AP19" i="1"/>
  <c r="AP4" i="1"/>
  <c r="AP20" i="1"/>
  <c r="AP7" i="1"/>
  <c r="AN19" i="4"/>
  <c r="AO19" i="4" s="1"/>
  <c r="AP7" i="4"/>
  <c r="AP28" i="4"/>
  <c r="AP6" i="4"/>
  <c r="AP38" i="4"/>
  <c r="AP2" i="4"/>
  <c r="AQ10" i="4"/>
  <c r="AP11" i="4"/>
  <c r="AP34" i="4"/>
  <c r="AP44" i="4"/>
  <c r="AP8" i="4"/>
  <c r="AP5" i="4"/>
  <c r="AP20" i="4"/>
  <c r="AP23" i="4"/>
  <c r="AQ28" i="4"/>
  <c r="AQ22" i="4"/>
  <c r="AQ16" i="4"/>
  <c r="AQ38" i="4"/>
  <c r="AQ27" i="4"/>
  <c r="AQ30" i="4"/>
  <c r="AQ25" i="4"/>
  <c r="AQ7" i="4"/>
  <c r="AQ6" i="4"/>
  <c r="AQ13" i="4"/>
  <c r="AQ3" i="4"/>
  <c r="AQ4" i="4"/>
  <c r="AQ41" i="4"/>
  <c r="AQ32" i="4"/>
  <c r="AQ33" i="4"/>
  <c r="AQ44" i="4"/>
  <c r="AQ29" i="4"/>
  <c r="AP26" i="4"/>
  <c r="AP18" i="4"/>
  <c r="AP35" i="4"/>
  <c r="AP40" i="4"/>
  <c r="AP39" i="4"/>
  <c r="AQ2" i="4"/>
  <c r="AP10" i="4"/>
  <c r="AQ34" i="4"/>
  <c r="AQ17" i="4"/>
  <c r="AQ37" i="4"/>
  <c r="AQ21" i="4"/>
  <c r="AQ31" i="4"/>
  <c r="AQ24" i="4"/>
  <c r="AQ12" i="4"/>
  <c r="AQ42" i="4"/>
  <c r="AQ14" i="4"/>
  <c r="AQ9" i="4"/>
  <c r="AP15" i="4"/>
  <c r="AQ36" i="4"/>
  <c r="AQ5" i="4"/>
  <c r="AQ20" i="4"/>
  <c r="AQ11" i="4"/>
  <c r="AQ8" i="4"/>
  <c r="AQ43" i="4"/>
  <c r="AQ11" i="1"/>
  <c r="AQ13" i="1"/>
  <c r="AQ10" i="1"/>
  <c r="AQ17" i="1"/>
  <c r="AQ22" i="1"/>
  <c r="AQ14" i="1"/>
  <c r="AQ34" i="1"/>
  <c r="AQ31" i="1"/>
  <c r="AQ9" i="1"/>
  <c r="AQ5" i="1"/>
  <c r="AQ16" i="1"/>
  <c r="AQ18" i="1"/>
  <c r="AQ26" i="1"/>
  <c r="AQ4" i="1"/>
  <c r="AQ2" i="1"/>
  <c r="AQ29" i="1"/>
  <c r="AQ36" i="1"/>
  <c r="AQ32" i="1"/>
  <c r="AQ7" i="1"/>
  <c r="AQ35" i="1"/>
  <c r="AQ33" i="1"/>
  <c r="AQ8" i="1"/>
  <c r="AQ6" i="1"/>
  <c r="AQ20" i="1"/>
  <c r="AQ27" i="1"/>
  <c r="AQ24" i="1"/>
  <c r="AQ12" i="1"/>
  <c r="AQ19" i="1"/>
  <c r="AQ28" i="1"/>
  <c r="AQ30" i="1"/>
  <c r="AQ3" i="1"/>
  <c r="AQ23" i="1"/>
  <c r="AQ21" i="1"/>
  <c r="AP15" i="1"/>
  <c r="AP25" i="1"/>
  <c r="AQ23" i="4" l="1"/>
  <c r="AQ15" i="4"/>
  <c r="AP19" i="4"/>
  <c r="AQ15" i="1"/>
  <c r="AQ25" i="1"/>
  <c r="AQ19" i="4" l="1"/>
</calcChain>
</file>

<file path=xl/sharedStrings.xml><?xml version="1.0" encoding="utf-8"?>
<sst xmlns="http://schemas.openxmlformats.org/spreadsheetml/2006/main" count="548" uniqueCount="231">
  <si>
    <t>Team</t>
  </si>
  <si>
    <t>W</t>
  </si>
  <si>
    <t>L</t>
  </si>
  <si>
    <t>ERA</t>
  </si>
  <si>
    <t>G</t>
  </si>
  <si>
    <t>GS</t>
  </si>
  <si>
    <t>CG</t>
  </si>
  <si>
    <t>ShO</t>
  </si>
  <si>
    <t>SV</t>
  </si>
  <si>
    <t>HLD</t>
  </si>
  <si>
    <t>BS</t>
  </si>
  <si>
    <t>IP</t>
  </si>
  <si>
    <t>TBF</t>
  </si>
  <si>
    <t>H</t>
  </si>
  <si>
    <t>R</t>
  </si>
  <si>
    <t>ER</t>
  </si>
  <si>
    <t>HR</t>
  </si>
  <si>
    <t>BB</t>
  </si>
  <si>
    <t>IBB</t>
  </si>
  <si>
    <t>HBP</t>
  </si>
  <si>
    <t>WP</t>
  </si>
  <si>
    <t>BK</t>
  </si>
  <si>
    <t>SO</t>
  </si>
  <si>
    <t>Felix Hernandez</t>
  </si>
  <si>
    <t>Mariners</t>
  </si>
  <si>
    <t>Hiroki Kuroda</t>
  </si>
  <si>
    <t>Yankees</t>
  </si>
  <si>
    <t>Anibal Sanchez</t>
  </si>
  <si>
    <t>Tigers</t>
  </si>
  <si>
    <t>Yu Darvish</t>
  </si>
  <si>
    <t>Rangers</t>
  </si>
  <si>
    <t>Chris Sale</t>
  </si>
  <si>
    <t>White Sox</t>
  </si>
  <si>
    <t>Bartolo Colon</t>
  </si>
  <si>
    <t>Athletics</t>
  </si>
  <si>
    <t>Max Scherzer</t>
  </si>
  <si>
    <t>Hisashi Iwakuma</t>
  </si>
  <si>
    <t>Derek Holland</t>
  </si>
  <si>
    <t>David Price</t>
  </si>
  <si>
    <t>Rays</t>
  </si>
  <si>
    <t>Ervin Santana</t>
  </si>
  <si>
    <t>Royals</t>
  </si>
  <si>
    <t>John Lackey</t>
  </si>
  <si>
    <t>Red Sox</t>
  </si>
  <si>
    <t>James Shields</t>
  </si>
  <si>
    <t>C.J. Wilson</t>
  </si>
  <si>
    <t>Angels</t>
  </si>
  <si>
    <t>Indians</t>
  </si>
  <si>
    <t>Justin Verlander</t>
  </si>
  <si>
    <t>Justin Masterson</t>
  </si>
  <si>
    <t>Doug Fister</t>
  </si>
  <si>
    <t>Jose Quintana</t>
  </si>
  <si>
    <t>Chris Tillman</t>
  </si>
  <si>
    <t>Orioles</t>
  </si>
  <si>
    <t>Bud Norris</t>
  </si>
  <si>
    <t>- - -</t>
  </si>
  <si>
    <t>A.J. Griffin</t>
  </si>
  <si>
    <t>Miguel Gonzalez</t>
  </si>
  <si>
    <t>Jarrod Parker</t>
  </si>
  <si>
    <t>Jeremy Guthrie</t>
  </si>
  <si>
    <t>Ubaldo Jimenez</t>
  </si>
  <si>
    <t>Rick Porcello</t>
  </si>
  <si>
    <t>Jon Lester</t>
  </si>
  <si>
    <t>Mark Buehrle</t>
  </si>
  <si>
    <t>Blue Jays</t>
  </si>
  <si>
    <t>R.A. Dickey</t>
  </si>
  <si>
    <t>Kevin Correia</t>
  </si>
  <si>
    <t>Twins</t>
  </si>
  <si>
    <t>Andy Pettitte</t>
  </si>
  <si>
    <t>Ryan Dempster</t>
  </si>
  <si>
    <t>Joe Saunders</t>
  </si>
  <si>
    <t>CC Sabathia</t>
  </si>
  <si>
    <t>Jeremy Hellickson</t>
  </si>
  <si>
    <t>Astros</t>
  </si>
  <si>
    <t>IP</t>
    <phoneticPr fontId="18" type="noConversion"/>
  </si>
  <si>
    <t>Season</t>
  </si>
  <si>
    <t>FIP</t>
    <phoneticPr fontId="18" type="noConversion"/>
  </si>
  <si>
    <t>IP/DEC</t>
    <phoneticPr fontId="18" type="noConversion"/>
  </si>
  <si>
    <t>MLB</t>
    <phoneticPr fontId="18" type="noConversion"/>
  </si>
  <si>
    <t>AL</t>
    <phoneticPr fontId="18" type="noConversion"/>
  </si>
  <si>
    <t>AL_Starters</t>
    <phoneticPr fontId="18" type="noConversion"/>
  </si>
  <si>
    <t>AL_Relievers</t>
    <phoneticPr fontId="18" type="noConversion"/>
  </si>
  <si>
    <t>NL</t>
    <phoneticPr fontId="18" type="noConversion"/>
  </si>
  <si>
    <t>NL_Starters</t>
    <phoneticPr fontId="18" type="noConversion"/>
  </si>
  <si>
    <t>NL_Relievers</t>
    <phoneticPr fontId="18" type="noConversion"/>
  </si>
  <si>
    <t>BPF</t>
    <phoneticPr fontId="18" type="noConversion"/>
  </si>
  <si>
    <t>RS</t>
    <phoneticPr fontId="18" type="noConversion"/>
  </si>
  <si>
    <t>ExRA</t>
    <phoneticPr fontId="18" type="noConversion"/>
  </si>
  <si>
    <t>ExL</t>
    <phoneticPr fontId="18" type="noConversion"/>
  </si>
  <si>
    <t>LUCK</t>
    <phoneticPr fontId="18" type="noConversion"/>
  </si>
  <si>
    <t>Diamondbacks</t>
  </si>
  <si>
    <t>Braves</t>
  </si>
  <si>
    <t>Cubs</t>
  </si>
  <si>
    <t>Reds</t>
  </si>
  <si>
    <t>Rockies</t>
  </si>
  <si>
    <t>Marlins</t>
  </si>
  <si>
    <t>Dodgers</t>
  </si>
  <si>
    <t>Brewers</t>
  </si>
  <si>
    <t>Nationals</t>
  </si>
  <si>
    <t>Mets</t>
  </si>
  <si>
    <t>Phillies</t>
  </si>
  <si>
    <t>Pirates</t>
  </si>
  <si>
    <t>Cardinals</t>
  </si>
  <si>
    <t>Padres</t>
  </si>
  <si>
    <t>Giants</t>
  </si>
  <si>
    <t>Clayton Kershaw</t>
  </si>
  <si>
    <t>Matt Harvey</t>
  </si>
  <si>
    <t>Patrick Corbin</t>
  </si>
  <si>
    <t>Jeff Locke</t>
  </si>
  <si>
    <t>Jose Fernandez</t>
  </si>
  <si>
    <t>Adam Wainwright</t>
  </si>
  <si>
    <t>Madison Bumgarner</t>
  </si>
  <si>
    <t>Stephen Strasburg</t>
  </si>
  <si>
    <t>Mike Leake</t>
  </si>
  <si>
    <t>Mike Minor</t>
  </si>
  <si>
    <t>Shelby Miller</t>
  </si>
  <si>
    <t>A.J. Burnett</t>
  </si>
  <si>
    <t>Hyun-Jin Ryu</t>
  </si>
  <si>
    <t>Travis Wood</t>
  </si>
  <si>
    <t>Mat Latos</t>
  </si>
  <si>
    <t>Julio Teheran</t>
  </si>
  <si>
    <t>Jordan Zimmermann</t>
  </si>
  <si>
    <t>Cliff Lee</t>
  </si>
  <si>
    <t>Jhoulys Chacin</t>
  </si>
  <si>
    <t>Jorge de la Rosa</t>
  </si>
  <si>
    <t>Kyle Lohse</t>
  </si>
  <si>
    <t>Eric Stults</t>
  </si>
  <si>
    <t>Bronson Arroyo</t>
  </si>
  <si>
    <t>Gio Gonzalez</t>
  </si>
  <si>
    <t>Ricky Nolasco</t>
  </si>
  <si>
    <t>Wade Miley</t>
  </si>
  <si>
    <t>Cole Hamels</t>
  </si>
  <si>
    <t>Homer Bailey</t>
  </si>
  <si>
    <t>Lance Lynn</t>
  </si>
  <si>
    <t>Dillon Gee</t>
  </si>
  <si>
    <t>Kris Medlen</t>
  </si>
  <si>
    <t>Tim Lincecum</t>
  </si>
  <si>
    <t>Jeff Samardzija</t>
  </si>
  <si>
    <t>Wily Peralta</t>
  </si>
  <si>
    <t>Matt Cain</t>
  </si>
  <si>
    <t>Kyle Kendrick</t>
  </si>
  <si>
    <t>Yovani Gallardo</t>
  </si>
  <si>
    <t>Ian Kennedy</t>
  </si>
  <si>
    <t>Dan Haren</t>
  </si>
  <si>
    <t>Edwin Jackson</t>
  </si>
  <si>
    <t>Edinson Volquez</t>
  </si>
  <si>
    <t>Zack Greinke</t>
  </si>
  <si>
    <t>Andrew Cashner</t>
  </si>
  <si>
    <t>ERA-</t>
    <phoneticPr fontId="18" type="noConversion"/>
  </si>
  <si>
    <t>FIP-</t>
    <phoneticPr fontId="18" type="noConversion"/>
  </si>
  <si>
    <t>Name</t>
    <phoneticPr fontId="18" type="noConversion"/>
  </si>
  <si>
    <t>Team</t>
    <phoneticPr fontId="18" type="noConversion"/>
  </si>
  <si>
    <t>W</t>
    <phoneticPr fontId="18" type="noConversion"/>
  </si>
  <si>
    <t>L</t>
    <phoneticPr fontId="18" type="noConversion"/>
  </si>
  <si>
    <t>ERA</t>
    <phoneticPr fontId="18" type="noConversion"/>
  </si>
  <si>
    <t>G</t>
    <phoneticPr fontId="18" type="noConversion"/>
  </si>
  <si>
    <t>GS</t>
    <phoneticPr fontId="18" type="noConversion"/>
  </si>
  <si>
    <t>CG</t>
    <phoneticPr fontId="18" type="noConversion"/>
  </si>
  <si>
    <t>ShO</t>
    <phoneticPr fontId="18" type="noConversion"/>
  </si>
  <si>
    <t>SV</t>
    <phoneticPr fontId="18" type="noConversion"/>
  </si>
  <si>
    <t>HLD</t>
    <phoneticPr fontId="18" type="noConversion"/>
  </si>
  <si>
    <t>BS</t>
    <phoneticPr fontId="18" type="noConversion"/>
  </si>
  <si>
    <t>IP</t>
    <phoneticPr fontId="18" type="noConversion"/>
  </si>
  <si>
    <t>TBF</t>
    <phoneticPr fontId="18" type="noConversion"/>
  </si>
  <si>
    <t>H</t>
    <phoneticPr fontId="18" type="noConversion"/>
  </si>
  <si>
    <t>R</t>
    <phoneticPr fontId="18" type="noConversion"/>
  </si>
  <si>
    <t>ER</t>
    <phoneticPr fontId="18" type="noConversion"/>
  </si>
  <si>
    <t>HR</t>
    <phoneticPr fontId="18" type="noConversion"/>
  </si>
  <si>
    <t>BB</t>
    <phoneticPr fontId="18" type="noConversion"/>
  </si>
  <si>
    <t>IBB</t>
    <phoneticPr fontId="18" type="noConversion"/>
  </si>
  <si>
    <t>HBP</t>
    <phoneticPr fontId="18" type="noConversion"/>
  </si>
  <si>
    <t>WP</t>
    <phoneticPr fontId="18" type="noConversion"/>
  </si>
  <si>
    <t>BK</t>
    <phoneticPr fontId="18" type="noConversion"/>
  </si>
  <si>
    <t>SO</t>
    <phoneticPr fontId="18" type="noConversion"/>
  </si>
  <si>
    <t>IP</t>
    <phoneticPr fontId="18" type="noConversion"/>
  </si>
  <si>
    <t>FIP</t>
    <phoneticPr fontId="18" type="noConversion"/>
  </si>
  <si>
    <t>BPF</t>
    <phoneticPr fontId="18" type="noConversion"/>
  </si>
  <si>
    <t>ERA-</t>
    <phoneticPr fontId="18" type="noConversion"/>
  </si>
  <si>
    <t>FIP-</t>
    <phoneticPr fontId="18" type="noConversion"/>
  </si>
  <si>
    <t>WPCT</t>
    <phoneticPr fontId="18" type="noConversion"/>
  </si>
  <si>
    <t>C</t>
    <phoneticPr fontId="18" type="noConversion"/>
  </si>
  <si>
    <t>ExTmWPCT</t>
    <phoneticPr fontId="18" type="noConversion"/>
  </si>
  <si>
    <t>Cubs</t>
    <phoneticPr fontId="18" type="noConversion"/>
  </si>
  <si>
    <t>ExTmW</t>
    <phoneticPr fontId="18" type="noConversion"/>
  </si>
  <si>
    <t>ExW</t>
    <phoneticPr fontId="18" type="noConversion"/>
  </si>
  <si>
    <t>ExL</t>
    <phoneticPr fontId="18" type="noConversion"/>
  </si>
  <si>
    <t>WPCT</t>
    <phoneticPr fontId="18" type="noConversion"/>
  </si>
  <si>
    <t>ExWPCT</t>
    <phoneticPr fontId="18" type="noConversion"/>
  </si>
  <si>
    <t>Name</t>
    <phoneticPr fontId="18" type="noConversion"/>
  </si>
  <si>
    <t>Team</t>
    <phoneticPr fontId="18" type="noConversion"/>
  </si>
  <si>
    <t>W</t>
    <phoneticPr fontId="18" type="noConversion"/>
  </si>
  <si>
    <t>L</t>
    <phoneticPr fontId="18" type="noConversion"/>
  </si>
  <si>
    <t>ERA</t>
    <phoneticPr fontId="18" type="noConversion"/>
  </si>
  <si>
    <t>G</t>
    <phoneticPr fontId="18" type="noConversion"/>
  </si>
  <si>
    <t>GS</t>
    <phoneticPr fontId="18" type="noConversion"/>
  </si>
  <si>
    <t>CG</t>
    <phoneticPr fontId="18" type="noConversion"/>
  </si>
  <si>
    <t>ShO</t>
    <phoneticPr fontId="18" type="noConversion"/>
  </si>
  <si>
    <t>SV</t>
    <phoneticPr fontId="18" type="noConversion"/>
  </si>
  <si>
    <t>HLD</t>
    <phoneticPr fontId="18" type="noConversion"/>
  </si>
  <si>
    <t>BS</t>
    <phoneticPr fontId="18" type="noConversion"/>
  </si>
  <si>
    <t>IP</t>
    <phoneticPr fontId="18" type="noConversion"/>
  </si>
  <si>
    <t>TBF</t>
    <phoneticPr fontId="18" type="noConversion"/>
  </si>
  <si>
    <t>H</t>
    <phoneticPr fontId="18" type="noConversion"/>
  </si>
  <si>
    <t>R</t>
    <phoneticPr fontId="18" type="noConversion"/>
  </si>
  <si>
    <t>ER</t>
    <phoneticPr fontId="18" type="noConversion"/>
  </si>
  <si>
    <t>HR</t>
    <phoneticPr fontId="18" type="noConversion"/>
  </si>
  <si>
    <t>BB</t>
    <phoneticPr fontId="18" type="noConversion"/>
  </si>
  <si>
    <t>IBB</t>
    <phoneticPr fontId="18" type="noConversion"/>
  </si>
  <si>
    <t>HBP</t>
    <phoneticPr fontId="18" type="noConversion"/>
  </si>
  <si>
    <t>WP</t>
    <phoneticPr fontId="18" type="noConversion"/>
  </si>
  <si>
    <t>BK</t>
    <phoneticPr fontId="18" type="noConversion"/>
  </si>
  <si>
    <t>SO</t>
    <phoneticPr fontId="18" type="noConversion"/>
  </si>
  <si>
    <t>FIP</t>
    <phoneticPr fontId="18" type="noConversion"/>
  </si>
  <si>
    <t>BPF</t>
    <phoneticPr fontId="18" type="noConversion"/>
  </si>
  <si>
    <t>ERA-</t>
    <phoneticPr fontId="18" type="noConversion"/>
  </si>
  <si>
    <t>FIP-</t>
    <phoneticPr fontId="18" type="noConversion"/>
  </si>
  <si>
    <t>WPCT</t>
    <phoneticPr fontId="18" type="noConversion"/>
  </si>
  <si>
    <t>RS</t>
    <phoneticPr fontId="18" type="noConversion"/>
  </si>
  <si>
    <t>ExRA</t>
    <phoneticPr fontId="18" type="noConversion"/>
  </si>
  <si>
    <t>C</t>
    <phoneticPr fontId="18" type="noConversion"/>
  </si>
  <si>
    <t>ExTmW</t>
    <phoneticPr fontId="18" type="noConversion"/>
  </si>
  <si>
    <t>ExL</t>
    <phoneticPr fontId="18" type="noConversion"/>
  </si>
  <si>
    <t>ExTmWPCT</t>
    <phoneticPr fontId="18" type="noConversion"/>
  </si>
  <si>
    <t>ExW</t>
    <phoneticPr fontId="18" type="noConversion"/>
  </si>
  <si>
    <t>ExWPCT</t>
    <phoneticPr fontId="18" type="noConversion"/>
  </si>
  <si>
    <t>LUCK</t>
    <phoneticPr fontId="18" type="noConversion"/>
  </si>
  <si>
    <t>IPDEC</t>
    <phoneticPr fontId="18" type="noConversion"/>
  </si>
  <si>
    <t>ExW</t>
    <phoneticPr fontId="18" type="noConversion"/>
  </si>
  <si>
    <t>IPAVG</t>
    <phoneticPr fontId="18" type="noConversion"/>
  </si>
  <si>
    <t>FIRA</t>
    <phoneticPr fontId="18" type="noConversion"/>
  </si>
  <si>
    <t>RA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</si>
</sst>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00_ "/>
    <numFmt numFmtId="178" formatCode="0.0_ "/>
    <numFmt numFmtId="179" formatCode="0_);[Red]\(0\)"/>
    <numFmt numFmtId="180" formatCode="0_ "/>
    <numFmt numFmtId="181" formatCode="0.0000_ 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i/>
      <sz val="9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12" fontId="20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12" fontId="20" fillId="0" borderId="0" xfId="0" applyNumberFormat="1" applyFont="1" applyFill="1" applyBorder="1" applyAlignment="1">
      <alignment horizontal="center" vertical="center"/>
    </xf>
    <xf numFmtId="180" fontId="20" fillId="0" borderId="0" xfId="0" applyNumberFormat="1" applyFont="1" applyFill="1" applyBorder="1" applyAlignment="1">
      <alignment horizontal="center" vertical="center"/>
    </xf>
    <xf numFmtId="177" fontId="20" fillId="0" borderId="0" xfId="0" applyNumberFormat="1" applyFont="1" applyFill="1" applyBorder="1" applyAlignment="1">
      <alignment horizontal="center" vertical="center"/>
    </xf>
    <xf numFmtId="178" fontId="20" fillId="0" borderId="0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76" fontId="20" fillId="0" borderId="13" xfId="0" applyNumberFormat="1" applyFont="1" applyFill="1" applyBorder="1" applyAlignment="1">
      <alignment horizontal="center" vertical="center"/>
    </xf>
    <xf numFmtId="12" fontId="20" fillId="0" borderId="13" xfId="0" applyNumberFormat="1" applyFont="1" applyFill="1" applyBorder="1" applyAlignment="1">
      <alignment horizontal="center" vertical="center"/>
    </xf>
    <xf numFmtId="180" fontId="20" fillId="0" borderId="13" xfId="0" applyNumberFormat="1" applyFont="1" applyFill="1" applyBorder="1" applyAlignment="1">
      <alignment horizontal="center" vertical="center"/>
    </xf>
    <xf numFmtId="177" fontId="20" fillId="0" borderId="13" xfId="0" applyNumberFormat="1" applyFont="1" applyFill="1" applyBorder="1" applyAlignment="1">
      <alignment horizontal="center" vertical="center"/>
    </xf>
    <xf numFmtId="178" fontId="20" fillId="0" borderId="13" xfId="0" applyNumberFormat="1" applyFont="1" applyFill="1" applyBorder="1" applyAlignment="1">
      <alignment horizontal="center" vertical="center"/>
    </xf>
    <xf numFmtId="178" fontId="20" fillId="0" borderId="17" xfId="0" applyNumberFormat="1" applyFont="1" applyFill="1" applyBorder="1" applyAlignment="1">
      <alignment horizontal="center" vertical="center"/>
    </xf>
    <xf numFmtId="179" fontId="20" fillId="0" borderId="13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176" fontId="20" fillId="0" borderId="15" xfId="0" applyNumberFormat="1" applyFont="1" applyFill="1" applyBorder="1" applyAlignment="1">
      <alignment horizontal="center" vertical="center"/>
    </xf>
    <xf numFmtId="12" fontId="20" fillId="0" borderId="15" xfId="0" applyNumberFormat="1" applyFont="1" applyFill="1" applyBorder="1" applyAlignment="1">
      <alignment horizontal="center" vertical="center"/>
    </xf>
    <xf numFmtId="180" fontId="20" fillId="0" borderId="15" xfId="0" applyNumberFormat="1" applyFont="1" applyFill="1" applyBorder="1" applyAlignment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178" fontId="20" fillId="0" borderId="15" xfId="0" applyNumberFormat="1" applyFont="1" applyFill="1" applyBorder="1" applyAlignment="1">
      <alignment horizontal="center" vertical="center"/>
    </xf>
    <xf numFmtId="178" fontId="20" fillId="0" borderId="16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176" fontId="20" fillId="0" borderId="19" xfId="0" applyNumberFormat="1" applyFont="1" applyFill="1" applyBorder="1" applyAlignment="1">
      <alignment horizontal="center" vertical="center"/>
    </xf>
    <xf numFmtId="12" fontId="20" fillId="0" borderId="19" xfId="0" applyNumberFormat="1" applyFont="1" applyFill="1" applyBorder="1" applyAlignment="1">
      <alignment horizontal="center" vertical="center"/>
    </xf>
    <xf numFmtId="180" fontId="20" fillId="0" borderId="19" xfId="0" applyNumberFormat="1" applyFont="1" applyFill="1" applyBorder="1" applyAlignment="1">
      <alignment horizontal="center" vertical="center"/>
    </xf>
    <xf numFmtId="177" fontId="20" fillId="0" borderId="19" xfId="0" applyNumberFormat="1" applyFont="1" applyFill="1" applyBorder="1" applyAlignment="1">
      <alignment horizontal="center" vertical="center"/>
    </xf>
    <xf numFmtId="178" fontId="20" fillId="0" borderId="19" xfId="0" applyNumberFormat="1" applyFont="1" applyFill="1" applyBorder="1" applyAlignment="1">
      <alignment horizontal="center" vertical="center"/>
    </xf>
    <xf numFmtId="178" fontId="20" fillId="0" borderId="20" xfId="0" applyNumberFormat="1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176" fontId="23" fillId="0" borderId="13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12" fontId="22" fillId="0" borderId="13" xfId="0" applyNumberFormat="1" applyFont="1" applyFill="1" applyBorder="1" applyAlignment="1">
      <alignment horizontal="center" vertical="center"/>
    </xf>
    <xf numFmtId="12" fontId="23" fillId="0" borderId="13" xfId="0" applyNumberFormat="1" applyFont="1" applyFill="1" applyBorder="1" applyAlignment="1">
      <alignment horizontal="center" vertical="center"/>
    </xf>
    <xf numFmtId="180" fontId="23" fillId="0" borderId="13" xfId="0" applyNumberFormat="1" applyFont="1" applyFill="1" applyBorder="1" applyAlignment="1">
      <alignment horizontal="center" vertical="center"/>
    </xf>
    <xf numFmtId="177" fontId="22" fillId="0" borderId="13" xfId="0" applyNumberFormat="1" applyFont="1" applyFill="1" applyBorder="1" applyAlignment="1">
      <alignment horizontal="center" vertical="center"/>
    </xf>
    <xf numFmtId="178" fontId="23" fillId="0" borderId="13" xfId="0" applyNumberFormat="1" applyFont="1" applyFill="1" applyBorder="1" applyAlignment="1">
      <alignment horizontal="center" vertical="center"/>
    </xf>
    <xf numFmtId="177" fontId="23" fillId="0" borderId="13" xfId="0" applyNumberFormat="1" applyFont="1" applyFill="1" applyBorder="1" applyAlignment="1">
      <alignment horizontal="center" vertical="center"/>
    </xf>
    <xf numFmtId="178" fontId="22" fillId="0" borderId="13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181" fontId="19" fillId="0" borderId="0" xfId="0" applyNumberFormat="1" applyFont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177" fontId="22" fillId="0" borderId="15" xfId="0" applyNumberFormat="1" applyFont="1" applyFill="1" applyBorder="1" applyAlignment="1">
      <alignment horizontal="center" vertical="center"/>
    </xf>
    <xf numFmtId="178" fontId="23" fillId="0" borderId="20" xfId="0" applyNumberFormat="1" applyFont="1" applyFill="1" applyBorder="1" applyAlignment="1">
      <alignment horizontal="center" vertical="center"/>
    </xf>
    <xf numFmtId="176" fontId="22" fillId="0" borderId="13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180" fontId="22" fillId="0" borderId="13" xfId="0" applyNumberFormat="1" applyFont="1" applyFill="1" applyBorder="1" applyAlignment="1">
      <alignment horizontal="center" vertical="center"/>
    </xf>
    <xf numFmtId="178" fontId="22" fillId="0" borderId="20" xfId="0" applyNumberFormat="1" applyFont="1" applyFill="1" applyBorder="1" applyAlignment="1">
      <alignment horizontal="center" vertical="center"/>
    </xf>
    <xf numFmtId="12" fontId="19" fillId="0" borderId="0" xfId="0" applyNumberFormat="1" applyFont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6"/>
  <sheetViews>
    <sheetView topLeftCell="AB1" workbookViewId="0">
      <selection activeCell="AM2" sqref="AM2"/>
    </sheetView>
  </sheetViews>
  <sheetFormatPr defaultRowHeight="16.5" x14ac:dyDescent="0.3"/>
  <cols>
    <col min="1" max="1" width="15.625" style="9" customWidth="1"/>
    <col min="2" max="2" width="10.625" style="9" customWidth="1"/>
    <col min="3" max="5" width="9" style="9"/>
    <col min="6" max="13" width="9" style="9" customWidth="1"/>
    <col min="14" max="14" width="9" style="9" hidden="1" customWidth="1"/>
    <col min="15" max="25" width="9" style="9" customWidth="1"/>
    <col min="26" max="26" width="9" style="9"/>
    <col min="27" max="27" width="9" style="9" hidden="1" customWidth="1"/>
    <col min="28" max="29" width="9" style="9"/>
    <col min="30" max="39" width="9" style="9" customWidth="1"/>
    <col min="40" max="70" width="9" style="4"/>
  </cols>
  <sheetData>
    <row r="1" spans="1:50" x14ac:dyDescent="0.3">
      <c r="A1" s="7" t="s">
        <v>188</v>
      </c>
      <c r="B1" s="8" t="s">
        <v>189</v>
      </c>
      <c r="C1" s="8" t="s">
        <v>190</v>
      </c>
      <c r="D1" s="8" t="s">
        <v>191</v>
      </c>
      <c r="E1" s="8" t="s">
        <v>192</v>
      </c>
      <c r="F1" s="8" t="s">
        <v>193</v>
      </c>
      <c r="G1" s="8" t="s">
        <v>194</v>
      </c>
      <c r="H1" s="8" t="s">
        <v>195</v>
      </c>
      <c r="I1" s="8" t="s">
        <v>196</v>
      </c>
      <c r="J1" s="8" t="s">
        <v>197</v>
      </c>
      <c r="K1" s="8" t="s">
        <v>198</v>
      </c>
      <c r="L1" s="8" t="s">
        <v>199</v>
      </c>
      <c r="M1" s="8" t="s">
        <v>200</v>
      </c>
      <c r="N1" s="8" t="s">
        <v>200</v>
      </c>
      <c r="O1" s="8" t="s">
        <v>201</v>
      </c>
      <c r="P1" s="8" t="s">
        <v>202</v>
      </c>
      <c r="Q1" s="8" t="s">
        <v>203</v>
      </c>
      <c r="R1" s="8" t="s">
        <v>204</v>
      </c>
      <c r="S1" s="8" t="s">
        <v>205</v>
      </c>
      <c r="T1" s="8" t="s">
        <v>206</v>
      </c>
      <c r="U1" s="8" t="s">
        <v>207</v>
      </c>
      <c r="V1" s="8" t="s">
        <v>208</v>
      </c>
      <c r="W1" s="8" t="s">
        <v>209</v>
      </c>
      <c r="X1" s="8" t="s">
        <v>210</v>
      </c>
      <c r="Y1" s="8" t="s">
        <v>211</v>
      </c>
      <c r="Z1" s="8" t="s">
        <v>212</v>
      </c>
      <c r="AA1" s="8" t="s">
        <v>213</v>
      </c>
      <c r="AB1" s="8" t="s">
        <v>214</v>
      </c>
      <c r="AC1" s="8" t="s">
        <v>215</v>
      </c>
      <c r="AD1" s="8" t="s">
        <v>216</v>
      </c>
      <c r="AE1" s="8" t="s">
        <v>228</v>
      </c>
      <c r="AF1" s="8" t="s">
        <v>229</v>
      </c>
      <c r="AG1" s="8" t="s">
        <v>226</v>
      </c>
      <c r="AH1" s="8" t="s">
        <v>217</v>
      </c>
      <c r="AI1" s="8" t="s">
        <v>218</v>
      </c>
      <c r="AJ1" s="8" t="s">
        <v>219</v>
      </c>
      <c r="AK1" s="8" t="s">
        <v>220</v>
      </c>
      <c r="AL1" s="8" t="s">
        <v>221</v>
      </c>
      <c r="AM1" s="8" t="s">
        <v>222</v>
      </c>
      <c r="AN1" s="8" t="s">
        <v>223</v>
      </c>
      <c r="AO1" s="8" t="s">
        <v>221</v>
      </c>
      <c r="AP1" s="8" t="s">
        <v>224</v>
      </c>
      <c r="AQ1" s="40" t="s">
        <v>225</v>
      </c>
      <c r="AR1" s="9"/>
      <c r="AT1" s="53"/>
      <c r="AU1" s="53"/>
      <c r="AV1" s="9"/>
      <c r="AW1" s="9"/>
      <c r="AX1" s="9"/>
    </row>
    <row r="2" spans="1:50" x14ac:dyDescent="0.3">
      <c r="A2" s="32" t="s">
        <v>31</v>
      </c>
      <c r="B2" s="33" t="s">
        <v>32</v>
      </c>
      <c r="C2" s="33">
        <v>11</v>
      </c>
      <c r="D2" s="33">
        <v>14</v>
      </c>
      <c r="E2" s="34">
        <f>IF(OR(M2="",M2=0),"",(R2/M2*9))</f>
        <v>3.0653188180404358</v>
      </c>
      <c r="F2" s="33">
        <v>30</v>
      </c>
      <c r="G2" s="33">
        <v>30</v>
      </c>
      <c r="H2" s="58">
        <v>4</v>
      </c>
      <c r="I2" s="33">
        <v>1</v>
      </c>
      <c r="J2" s="33">
        <v>0</v>
      </c>
      <c r="K2" s="33">
        <v>0</v>
      </c>
      <c r="L2" s="33">
        <v>0</v>
      </c>
      <c r="M2" s="35">
        <f>IF(N2="","",(INT(N2)+(N2-INT(N2))*10/3))</f>
        <v>214.33333333333331</v>
      </c>
      <c r="N2" s="33">
        <v>214.1</v>
      </c>
      <c r="O2" s="33">
        <v>866</v>
      </c>
      <c r="P2" s="33">
        <v>184</v>
      </c>
      <c r="Q2" s="33">
        <v>81</v>
      </c>
      <c r="R2" s="33">
        <v>73</v>
      </c>
      <c r="S2" s="33">
        <v>23</v>
      </c>
      <c r="T2" s="33">
        <v>46</v>
      </c>
      <c r="U2" s="33">
        <v>2</v>
      </c>
      <c r="V2" s="33">
        <v>14</v>
      </c>
      <c r="W2" s="33">
        <v>8</v>
      </c>
      <c r="X2" s="33">
        <v>1</v>
      </c>
      <c r="Y2" s="33">
        <v>226</v>
      </c>
      <c r="Z2" s="34">
        <f>IF(OR(M2="",M2=0),"",((13*S2+3*(T2+V2)-2*Y2)/M2+League!$Y$2))</f>
        <v>3.1738263128793611</v>
      </c>
      <c r="AA2" s="33">
        <f>VLOOKUP(B2,BPF!$A$2:$B$31,2,FALSE)</f>
        <v>104</v>
      </c>
      <c r="AB2" s="36">
        <f>IF(OR(E2="",E2=0),"",(E2/(League!$E$3*AA2/100)*100))</f>
        <v>73.811636902526288</v>
      </c>
      <c r="AC2" s="36">
        <f>IF(OR(Z2="",Z2=0),"",(Z2/(League!$Y$3*AA2/100)*100))</f>
        <v>76.952484045964866</v>
      </c>
      <c r="AD2" s="37">
        <f>IF(OR((C2+D2)="",(C2+D2)=0),"",(C2/(C2+D2)))</f>
        <v>0.44</v>
      </c>
      <c r="AE2" s="34">
        <f>IF(OR(F2="",F2=0),"",(M2/F2))</f>
        <v>7.1444444444444439</v>
      </c>
      <c r="AF2" s="34">
        <f>IF(OR(AA2="",AA2=0,League!$Q$7="",League!$Q$7=0),"",(Z2*100/AA2*(League!$P$7/League!$Q$7)))</f>
        <v>3.3082560934901539</v>
      </c>
      <c r="AG2" s="34">
        <f>(1.19*AE2-0.056*AF2+1.71)*League!$AB$4</f>
        <v>10.132012924068684</v>
      </c>
      <c r="AH2" s="34">
        <f>IF(OR(League!$Q$3="",League!$Q$3=0),"",(League!$Y$3*(League!$P$3/League!$Q$3)))</f>
        <v>4.277699473514514</v>
      </c>
      <c r="AI2" s="34">
        <f>IF(OR(League!$Q$4="",League!$Q$4=0,AA2="",AA2=0,F2="",F2=0,League!$G$3="",League!$G$3=0,League!$Q$5="",League!$Q$5=0),"",((Z2/(AA2/100)/9*(League!$P$4/League!$Q$4)*(M2/F2)+(League!$M$3/League!$G$3-M2/F2)*(League!$Y$5/9*League!$P$5/League!$Q$5))/(League!$M$3/League!$G$3)*9))</f>
        <v>3.4425001807806521</v>
      </c>
      <c r="AJ2" s="34">
        <f>IF(AH2="","",((AH2+AI2)^0.287))</f>
        <v>1.7978331690086684</v>
      </c>
      <c r="AK2" s="38">
        <f>IF(AM2="","",(AM2*F2))</f>
        <v>17.892240255170684</v>
      </c>
      <c r="AL2" s="38">
        <f>IF(AK2="","",(F2-AK2))</f>
        <v>12.107759744829316</v>
      </c>
      <c r="AM2" s="37">
        <f>IF(AJ2="","",(AH2^AJ2/(AH2^AJ2+AI2^AJ2)))</f>
        <v>0.59640800850568942</v>
      </c>
      <c r="AN2" s="38">
        <f>IF(OR(AG2="",AG2=0),"",IF(((M2/AG2)&gt;=F2),AK2,IF(OR(AM2=1,(AK2-(F2-M2/AG2)*League!$AA$5)&gt;=AK2),AK2,IF(OR(AM2=0,(AK2-(F2-M2/AG2)*League!$AA$5)&lt;=0),0,(AK2-(F2-M2/AG2)*League!$AA$5)))))</f>
        <v>13.440139590765675</v>
      </c>
      <c r="AO2" s="38">
        <f>IF(OR(AG2="",AG2=0),"",IF((M2/AG2)&gt;=F2,AL2,(M2/AG2-AN2)))</f>
        <v>7.7139326493301326</v>
      </c>
      <c r="AP2" s="37">
        <f>IF(OR(AN2="",(AN2+AO2)=0),"",(AN2/(AN2+AO2)))</f>
        <v>0.63534526299342942</v>
      </c>
      <c r="AQ2" s="60">
        <f>IF(AN2="","",((C2-AN2)+(AO2-D2)))</f>
        <v>-8.7262069414355423</v>
      </c>
      <c r="AR2" s="14"/>
      <c r="AS2" s="41"/>
      <c r="AT2" s="53"/>
      <c r="AU2" s="53"/>
      <c r="AV2" s="14"/>
      <c r="AW2" s="13"/>
      <c r="AX2" s="14"/>
    </row>
    <row r="3" spans="1:50" x14ac:dyDescent="0.3">
      <c r="A3" s="15" t="s">
        <v>23</v>
      </c>
      <c r="B3" s="16" t="s">
        <v>24</v>
      </c>
      <c r="C3" s="16">
        <v>12</v>
      </c>
      <c r="D3" s="16">
        <v>10</v>
      </c>
      <c r="E3" s="17">
        <f>IF(OR(M3="",M3=0),"",(R3/M3*9))</f>
        <v>3.0391517128874388</v>
      </c>
      <c r="F3" s="16">
        <v>31</v>
      </c>
      <c r="G3" s="16">
        <v>31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8">
        <f>IF(N3="","",(INT(N3)+(N3-INT(N3))*10/3))</f>
        <v>204.33333333333331</v>
      </c>
      <c r="N3" s="16">
        <v>204.1</v>
      </c>
      <c r="O3" s="16">
        <v>822</v>
      </c>
      <c r="P3" s="16">
        <v>185</v>
      </c>
      <c r="Q3" s="16">
        <v>74</v>
      </c>
      <c r="R3" s="16">
        <v>69</v>
      </c>
      <c r="S3" s="16">
        <v>15</v>
      </c>
      <c r="T3" s="16">
        <v>46</v>
      </c>
      <c r="U3" s="16">
        <v>1</v>
      </c>
      <c r="V3" s="16">
        <v>3</v>
      </c>
      <c r="W3" s="16">
        <v>13</v>
      </c>
      <c r="X3" s="16">
        <v>0</v>
      </c>
      <c r="Y3" s="16">
        <v>216</v>
      </c>
      <c r="Z3" s="17">
        <f>IF(OR(M3="",M3=0),"",((13*S3+3*(T3+V3)-2*Y3)/M3+League!$Y$2))</f>
        <v>2.6073975366748345</v>
      </c>
      <c r="AA3" s="16">
        <f>VLOOKUP(B3,BPF!$A$2:$B$31,2,FALSE)</f>
        <v>100</v>
      </c>
      <c r="AB3" s="19">
        <f>IF(OR(E3="",E3=0),"",(E3/(League!$E$3*AA3/100)*100))</f>
        <v>76.108805341629051</v>
      </c>
      <c r="AC3" s="19">
        <f>IF(OR(Z3="",Z3=0),"",(Z3/(League!$Y$3*AA3/100)*100))</f>
        <v>65.747626197870119</v>
      </c>
      <c r="AD3" s="20">
        <f>IF(OR((C3+D3)="",(C3+D3)=0),"",(C3/(C3+D3)))</f>
        <v>0.54545454545454541</v>
      </c>
      <c r="AE3" s="17">
        <f>IF(OR(F3="",F3=0),"",(M3/F3))</f>
        <v>6.5913978494623651</v>
      </c>
      <c r="AF3" s="17">
        <f>IF(OR(AA3="",AA3=0,League!$Q$7="",League!$Q$7=0),"",(Z3*100/AA3*(League!$P$7/League!$Q$7)))</f>
        <v>2.8265492361714375</v>
      </c>
      <c r="AG3" s="34">
        <f>(1.19*AE3-0.056*AF3+1.71)*League!$AB$4</f>
        <v>9.4942292638445451</v>
      </c>
      <c r="AH3" s="17">
        <f>IF(OR(League!$Q$3="",League!$Q$3=0),"",(League!$Y$3*(League!$P$3/League!$Q$3)))</f>
        <v>4.277699473514514</v>
      </c>
      <c r="AI3" s="17">
        <f>IF(OR(League!$Q$4="",League!$Q$4=0,AA3="",AA3=0,F3="",F3=0,League!$G$3="",League!$G$3=0,League!$Q$5="",League!$Q$5=0),"",((Z3/(AA3/100)/9*(League!$P$4/League!$Q$4)*(M3/F3)+(League!$M$3/League!$G$3-M3/F3)*(League!$Y$5/9*League!$P$5/League!$Q$5))/(League!$M$3/League!$G$3)*9))</f>
        <v>3.1381083324761256</v>
      </c>
      <c r="AJ3" s="17">
        <f>IF(AH3="","",((AH3+AI3)^0.287))</f>
        <v>1.777196624401514</v>
      </c>
      <c r="AK3" s="21">
        <f>IF(AM3="","",(AM3*F3))</f>
        <v>19.662280667327618</v>
      </c>
      <c r="AL3" s="21">
        <f>IF(AK3="","",(F3-AK3))</f>
        <v>11.337719332672382</v>
      </c>
      <c r="AM3" s="20">
        <f>IF(AJ3="","",(AH3^AJ3/(AH3^AJ3+AI3^AJ3)))</f>
        <v>0.63426711830089089</v>
      </c>
      <c r="AN3" s="38">
        <f>IF(OR(AG3="",AG3=0),"",IF(((M3/AG3)&gt;=F3),AK3,IF(OR(AM3=1,(AK3-(F3-M3/AG3)*League!$AA$5)&gt;=AK3),AK3,IF(OR(AM3=0,(AK3-(F3-M3/AG3)*League!$AA$5)&lt;=0),0,(AK3-(F3-M3/AG3)*League!$AA$5)))))</f>
        <v>14.891984092276171</v>
      </c>
      <c r="AO3" s="38">
        <f>IF(OR(AG3="",AG3=0),"",IF((M3/AG3)&gt;=F3,AL3,(M3/AG3-AN3)))</f>
        <v>6.629861194467157</v>
      </c>
      <c r="AP3" s="20">
        <f>IF(OR(AN3="",(AN3+AO3)=0),"",(AN3/(AN3+AO3)))</f>
        <v>0.69194736296376458</v>
      </c>
      <c r="AQ3" s="22">
        <f>IF(AN3="","",((C3-AN3)+(AO3-D3)))</f>
        <v>-6.2621228978090144</v>
      </c>
      <c r="AR3" s="14"/>
      <c r="AS3" s="14"/>
      <c r="AT3" s="13"/>
      <c r="AU3" s="14"/>
      <c r="AV3" s="14"/>
      <c r="AW3" s="13"/>
      <c r="AX3" s="14"/>
    </row>
    <row r="4" spans="1:50" x14ac:dyDescent="0.3">
      <c r="A4" s="15" t="s">
        <v>25</v>
      </c>
      <c r="B4" s="16" t="s">
        <v>26</v>
      </c>
      <c r="C4" s="16">
        <v>11</v>
      </c>
      <c r="D4" s="16">
        <v>13</v>
      </c>
      <c r="E4" s="17">
        <f>IF(OR(M4="",M4=0),"",(R4/M4*9))</f>
        <v>3.3079470198675502</v>
      </c>
      <c r="F4" s="16">
        <v>32</v>
      </c>
      <c r="G4" s="16">
        <v>32</v>
      </c>
      <c r="H4" s="16">
        <v>1</v>
      </c>
      <c r="I4" s="16">
        <v>1</v>
      </c>
      <c r="J4" s="16">
        <v>0</v>
      </c>
      <c r="K4" s="16">
        <v>0</v>
      </c>
      <c r="L4" s="16">
        <v>0</v>
      </c>
      <c r="M4" s="18">
        <f>IF(N4="","",(INT(N4)+(N4-INT(N4))*10/3))</f>
        <v>201.33333333333331</v>
      </c>
      <c r="N4" s="16">
        <v>201.1</v>
      </c>
      <c r="O4" s="16">
        <v>824</v>
      </c>
      <c r="P4" s="16">
        <v>191</v>
      </c>
      <c r="Q4" s="16">
        <v>79</v>
      </c>
      <c r="R4" s="16">
        <v>74</v>
      </c>
      <c r="S4" s="16">
        <v>20</v>
      </c>
      <c r="T4" s="16">
        <v>43</v>
      </c>
      <c r="U4" s="16">
        <v>2</v>
      </c>
      <c r="V4" s="16">
        <v>5</v>
      </c>
      <c r="W4" s="16">
        <v>6</v>
      </c>
      <c r="X4" s="16">
        <v>0</v>
      </c>
      <c r="Y4" s="16">
        <v>150</v>
      </c>
      <c r="Z4" s="17">
        <f>IF(OR(M4="",M4=0),"",((13*S4+3*(T4+V4)-2*Y4)/M4+League!$Y$2))</f>
        <v>3.5644105980492498</v>
      </c>
      <c r="AA4" s="16">
        <f>VLOOKUP(B4,BPF!$A$2:$B$31,2,FALSE)</f>
        <v>103</v>
      </c>
      <c r="AB4" s="19">
        <f>IF(OR(E4="",E4=0),"",(E4/(League!$E$3*AA4/100)*100))</f>
        <v>80.427365891173835</v>
      </c>
      <c r="AC4" s="19">
        <f>IF(OR(Z4="",Z4=0),"",(Z4/(League!$Y$3*AA4/100)*100))</f>
        <v>87.261631390662757</v>
      </c>
      <c r="AD4" s="20">
        <f>IF(OR((C4+D4)="",(C4+D4)=0),"",(C4/(C4+D4)))</f>
        <v>0.45833333333333331</v>
      </c>
      <c r="AE4" s="17">
        <f>IF(OR(F4="",F4=0),"",(M4/F4))</f>
        <v>6.2916666666666661</v>
      </c>
      <c r="AF4" s="17">
        <f>IF(OR(AA4="",AA4=0,League!$Q$7="",League!$Q$7=0),"",(Z4*100/AA4*(League!$P$7/League!$Q$7)))</f>
        <v>3.7514555553998314</v>
      </c>
      <c r="AG4" s="34">
        <f>(1.19*AE4-0.056*AF4+1.71)*League!$AB$4</f>
        <v>9.0814610655647616</v>
      </c>
      <c r="AH4" s="17">
        <f>IF(OR(League!$Q$3="",League!$Q$3=0),"",(League!$Y$3*(League!$P$3/League!$Q$3)))</f>
        <v>4.277699473514514</v>
      </c>
      <c r="AI4" s="17">
        <f>IF(OR(League!$Q$4="",League!$Q$4=0,AA4="",AA4=0,F4="",F4=0,League!$G$3="",League!$G$3=0,League!$Q$5="",League!$Q$5=0),"",((Z4/(AA4/100)/9*(League!$P$4/League!$Q$4)*(M4/F4)+(League!$M$3/League!$G$3-M4/F4)*(League!$Y$5/9*League!$P$5/League!$Q$5))/(League!$M$3/League!$G$3)*9))</f>
        <v>3.8245083229422074</v>
      </c>
      <c r="AJ4" s="17">
        <f>IF(AH4="","",((AH4+AI4)^0.287))</f>
        <v>1.8229265458973749</v>
      </c>
      <c r="AK4" s="21">
        <f>IF(AM4="","",(AM4*F4))</f>
        <v>17.627481889546861</v>
      </c>
      <c r="AL4" s="21">
        <f>IF(AK4="","",(F4-AK4))</f>
        <v>14.372518110453139</v>
      </c>
      <c r="AM4" s="20">
        <f>IF(AJ4="","",(AH4^AJ4/(AH4^AJ4+AI4^AJ4)))</f>
        <v>0.55085880904833939</v>
      </c>
      <c r="AN4" s="38">
        <f>IF(OR(AG4="",AG4=0),"",IF(((M4/AG4)&gt;=F4),AK4,IF(OR(AM4=1,(AK4-(F4-M4/AG4)*League!$AA$5)&gt;=AK4),AK4,IF(OR(AM4=0,(AK4-(F4-M4/AG4)*League!$AA$5)&lt;=0),0,(AK4-(F4-M4/AG4)*League!$AA$5)))))</f>
        <v>12.679956427124472</v>
      </c>
      <c r="AO4" s="38">
        <f>IF(OR(AG4="",AG4=0),"",IF((M4/AG4)&gt;=F4,AL4,(M4/AG4-AN4)))</f>
        <v>9.489750834711673</v>
      </c>
      <c r="AP4" s="20">
        <f>IF(OR(AN4="",(AN4+AO4)=0),"",(AN4/(AN4+AO4)))</f>
        <v>0.57194965532775777</v>
      </c>
      <c r="AQ4" s="22">
        <f>IF(AN4="","",((C4-AN4)+(AO4-D4)))</f>
        <v>-5.1902055924127986</v>
      </c>
      <c r="AR4" s="14"/>
      <c r="AS4" s="14"/>
      <c r="AT4" s="13"/>
      <c r="AU4" s="14"/>
      <c r="AV4" s="14"/>
      <c r="AW4" s="13"/>
      <c r="AX4" s="14"/>
    </row>
    <row r="5" spans="1:50" x14ac:dyDescent="0.3">
      <c r="A5" s="15" t="s">
        <v>42</v>
      </c>
      <c r="B5" s="16" t="s">
        <v>43</v>
      </c>
      <c r="C5" s="16">
        <v>10</v>
      </c>
      <c r="D5" s="16">
        <v>13</v>
      </c>
      <c r="E5" s="17">
        <f>IF(OR(M5="",M5=0),"",(R5/M5*9))</f>
        <v>3.517605633802817</v>
      </c>
      <c r="F5" s="16">
        <v>29</v>
      </c>
      <c r="G5" s="16">
        <v>29</v>
      </c>
      <c r="H5" s="16">
        <v>2</v>
      </c>
      <c r="I5" s="16">
        <v>0</v>
      </c>
      <c r="J5" s="16">
        <v>0</v>
      </c>
      <c r="K5" s="16">
        <v>0</v>
      </c>
      <c r="L5" s="16">
        <v>0</v>
      </c>
      <c r="M5" s="18">
        <f>IF(N5="","",(INT(N5)+(N5-INT(N5))*10/3))</f>
        <v>189.33333333333331</v>
      </c>
      <c r="N5" s="16">
        <v>189.1</v>
      </c>
      <c r="O5" s="16">
        <v>778</v>
      </c>
      <c r="P5" s="16">
        <v>179</v>
      </c>
      <c r="Q5" s="16">
        <v>80</v>
      </c>
      <c r="R5" s="16">
        <v>74</v>
      </c>
      <c r="S5" s="16">
        <v>26</v>
      </c>
      <c r="T5" s="16">
        <v>40</v>
      </c>
      <c r="U5" s="16">
        <v>0</v>
      </c>
      <c r="V5" s="16">
        <v>6</v>
      </c>
      <c r="W5" s="16">
        <v>4</v>
      </c>
      <c r="X5" s="16">
        <v>0</v>
      </c>
      <c r="Y5" s="16">
        <v>161</v>
      </c>
      <c r="Z5" s="17">
        <f>IF(OR(M5="",M5=0),"",((13*S5+3*(T5+V5)-2*Y5)/M5+League!$Y$2))</f>
        <v>3.8612345883486623</v>
      </c>
      <c r="AA5" s="16">
        <f>VLOOKUP(B5,BPF!$A$2:$B$31,2,FALSE)</f>
        <v>104</v>
      </c>
      <c r="AB5" s="19">
        <f>IF(OR(E5="",E5=0),"",(E5/(League!$E$3*AA5/100)*100))</f>
        <v>84.702520429674067</v>
      </c>
      <c r="AC5" s="19">
        <f>IF(OR(Z5="",Z5=0),"",(Z5/(League!$Y$3*AA5/100)*100))</f>
        <v>93.619361542208708</v>
      </c>
      <c r="AD5" s="20">
        <f>IF(OR((C5+D5)="",(C5+D5)=0),"",(C5/(C5+D5)))</f>
        <v>0.43478260869565216</v>
      </c>
      <c r="AE5" s="17">
        <f>IF(OR(F5="",F5=0),"",(M5/F5))</f>
        <v>6.5287356321839072</v>
      </c>
      <c r="AF5" s="17">
        <f>IF(OR(AA5="",AA5=0,League!$Q$7="",League!$Q$7=0),"",(Z5*100/AA5*(League!$P$7/League!$Q$7)))</f>
        <v>4.0247800591553515</v>
      </c>
      <c r="AG5" s="34">
        <f>(1.19*AE5-0.056*AF5+1.71)*League!$AB$4</f>
        <v>9.3510712660936868</v>
      </c>
      <c r="AH5" s="17">
        <f>IF(OR(League!$Q$3="",League!$Q$3=0),"",(League!$Y$3*(League!$P$3/League!$Q$3)))</f>
        <v>4.277699473514514</v>
      </c>
      <c r="AI5" s="17">
        <f>IF(OR(League!$Q$4="",League!$Q$4=0,AA5="",AA5=0,F5="",F5=0,League!$G$3="",League!$G$3=0,League!$Q$5="",League!$Q$5=0),"",((Z5/(AA5/100)/9*(League!$P$4/League!$Q$4)*(M5/F5)+(League!$M$3/League!$G$3-M5/F5)*(League!$Y$5/9*League!$P$5/League!$Q$5))/(League!$M$3/League!$G$3)*9))</f>
        <v>4.0135408657229457</v>
      </c>
      <c r="AJ5" s="17">
        <f>IF(AH5="","",((AH5+AI5)^0.287))</f>
        <v>1.8350326577874427</v>
      </c>
      <c r="AK5" s="21">
        <f>IF(AM5="","",(AM5*F5))</f>
        <v>15.347050530105319</v>
      </c>
      <c r="AL5" s="21">
        <f>IF(AK5="","",(F5-AK5))</f>
        <v>13.652949469894681</v>
      </c>
      <c r="AM5" s="20">
        <f>IF(AJ5="","",(AH5^AJ5/(AH5^AJ5+AI5^AJ5)))</f>
        <v>0.52920863896914894</v>
      </c>
      <c r="AN5" s="38">
        <f>IF(OR(AG5="",AG5=0),"",IF(((M5/AG5)&gt;=F5),AK5,IF(OR(AM5=1,(AK5-(F5-M5/AG5)*League!$AA$5)&gt;=AK5),AK5,IF(OR(AM5=0,(AK5-(F5-M5/AG5)*League!$AA$5)&lt;=0),0,(AK5-(F5-M5/AG5)*League!$AA$5)))))</f>
        <v>10.941837885568546</v>
      </c>
      <c r="AO5" s="38">
        <f>IF(OR(AG5="",AG5=0),"",IF((M5/AG5)&gt;=F5,AL5,(M5/AG5-AN5)))</f>
        <v>9.3053966767261933</v>
      </c>
      <c r="AP5" s="20">
        <f>IF(OR(AN5="",(AN5+AO5)=0),"",(AN5/(AN5+AO5)))</f>
        <v>0.54041147455983451</v>
      </c>
      <c r="AQ5" s="22">
        <f>IF(AN5="","",((C5-AN5)+(AO5-D5)))</f>
        <v>-4.6364412088423528</v>
      </c>
      <c r="AR5" s="14"/>
      <c r="AS5" s="14"/>
      <c r="AT5" s="13"/>
      <c r="AU5" s="14"/>
      <c r="AV5" s="14"/>
      <c r="AW5" s="13"/>
      <c r="AX5" s="14"/>
    </row>
    <row r="6" spans="1:50" x14ac:dyDescent="0.3">
      <c r="A6" s="15" t="s">
        <v>48</v>
      </c>
      <c r="B6" s="16" t="s">
        <v>28</v>
      </c>
      <c r="C6" s="16">
        <v>13</v>
      </c>
      <c r="D6" s="16">
        <v>12</v>
      </c>
      <c r="E6" s="17">
        <f>IF(OR(M6="",M6=0),"",(R6/M6*9))</f>
        <v>3.4625954198473288</v>
      </c>
      <c r="F6" s="16">
        <v>34</v>
      </c>
      <c r="G6" s="44">
        <v>34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8">
        <f>IF(N6="","",(INT(N6)+(N6-INT(N6))*10/3))</f>
        <v>218.33333333333331</v>
      </c>
      <c r="N6" s="16">
        <v>218.1</v>
      </c>
      <c r="O6" s="16">
        <v>925</v>
      </c>
      <c r="P6" s="16">
        <v>212</v>
      </c>
      <c r="Q6" s="16">
        <v>94</v>
      </c>
      <c r="R6" s="16">
        <v>84</v>
      </c>
      <c r="S6" s="16">
        <v>19</v>
      </c>
      <c r="T6" s="16">
        <v>75</v>
      </c>
      <c r="U6" s="16">
        <v>1</v>
      </c>
      <c r="V6" s="16">
        <v>4</v>
      </c>
      <c r="W6" s="16">
        <v>3</v>
      </c>
      <c r="X6" s="16">
        <v>1</v>
      </c>
      <c r="Y6" s="16">
        <v>217</v>
      </c>
      <c r="Z6" s="17">
        <f>IF(OR(M6="",M6=0),"",((13*S6+3*(T6+V6)-2*Y6)/M6+League!$Y$2))</f>
        <v>3.2768619402463077</v>
      </c>
      <c r="AA6" s="16">
        <f>VLOOKUP(B6,BPF!$A$2:$B$31,2,FALSE)</f>
        <v>102</v>
      </c>
      <c r="AB6" s="19">
        <f>IF(OR(E6="",E6=0),"",(E6/(League!$E$3*AA6/100)*100))</f>
        <v>85.0127574551923</v>
      </c>
      <c r="AC6" s="19">
        <f>IF(OR(Z6="",Z6=0),"",(Z6/(League!$Y$3*AA6/100)*100))</f>
        <v>81.008538853489952</v>
      </c>
      <c r="AD6" s="20">
        <f>IF(OR((C6+D6)="",(C6+D6)=0),"",(C6/(C6+D6)))</f>
        <v>0.52</v>
      </c>
      <c r="AE6" s="17">
        <f>IF(OR(F6="",F6=0),"",(M6/F6))</f>
        <v>6.4215686274509798</v>
      </c>
      <c r="AF6" s="17">
        <f>IF(OR(AA6="",AA6=0,League!$Q$7="",League!$Q$7=0),"",(Z6*100/AA6*(League!$P$7/League!$Q$7)))</f>
        <v>3.4826295162442502</v>
      </c>
      <c r="AG6" s="34">
        <f>(1.19*AE6-0.056*AF6+1.71)*League!$AB$4</f>
        <v>9.252881658680602</v>
      </c>
      <c r="AH6" s="17">
        <f>IF(OR(League!$Q$3="",League!$Q$3=0),"",(League!$Y$3*(League!$P$3/League!$Q$3)))</f>
        <v>4.277699473514514</v>
      </c>
      <c r="AI6" s="17">
        <f>IF(OR(League!$Q$4="",League!$Q$4=0,AA6="",AA6=0,F6="",F6=0,League!$G$3="",League!$G$3=0,League!$Q$5="",League!$Q$5=0),"",((Z6/(AA6/100)/9*(League!$P$4/League!$Q$4)*(M6/F6)+(League!$M$3/League!$G$3-M6/F6)*(League!$Y$5/9*League!$P$5/League!$Q$5))/(League!$M$3/League!$G$3)*9))</f>
        <v>3.6284977827129556</v>
      </c>
      <c r="AJ6" s="17">
        <f>IF(AH6="","",((AH6+AI6)^0.287))</f>
        <v>1.8101589598355974</v>
      </c>
      <c r="AK6" s="21">
        <f>IF(AM6="","",(AM6*F6))</f>
        <v>19.513971516421236</v>
      </c>
      <c r="AL6" s="21">
        <f>IF(AK6="","",(F6-AK6))</f>
        <v>14.486028483578764</v>
      </c>
      <c r="AM6" s="20">
        <f>IF(AJ6="","",(AH6^AJ6/(AH6^AJ6+AI6^AJ6)))</f>
        <v>0.57394033871827166</v>
      </c>
      <c r="AN6" s="38">
        <f>IF(OR(AG6="",AG6=0),"",IF(((M6/AG6)&gt;=F6),AK6,IF(OR(AM6=1,(AK6-(F6-M6/AG6)*League!$AA$5)&gt;=AK6),AK6,IF(OR(AM6=0,(AK6-(F6-M6/AG6)*League!$AA$5)&lt;=0),0,(AK6-(F6-M6/AG6)*League!$AA$5)))))</f>
        <v>14.277829897514131</v>
      </c>
      <c r="AO6" s="38">
        <f>IF(OR(AG6="",AG6=0),"",IF((M6/AG6)&gt;=F6,AL6,(M6/AG6-AN6)))</f>
        <v>9.3184227497358876</v>
      </c>
      <c r="AP6" s="20">
        <f>IF(OR(AN6="",(AN6+AO6)=0),"",(AN6/(AN6+AO6)))</f>
        <v>0.60508887198993921</v>
      </c>
      <c r="AQ6" s="22">
        <f>IF(AN6="","",((C6-AN6)+(AO6-D6)))</f>
        <v>-3.9594071477782435</v>
      </c>
      <c r="AR6" s="14"/>
      <c r="AS6" s="14"/>
      <c r="AT6" s="13"/>
      <c r="AU6" s="14"/>
      <c r="AV6" s="14"/>
      <c r="AW6" s="13"/>
      <c r="AX6" s="14"/>
    </row>
    <row r="7" spans="1:50" x14ac:dyDescent="0.3">
      <c r="A7" s="15" t="s">
        <v>37</v>
      </c>
      <c r="B7" s="16" t="s">
        <v>30</v>
      </c>
      <c r="C7" s="16">
        <v>10</v>
      </c>
      <c r="D7" s="16">
        <v>9</v>
      </c>
      <c r="E7" s="17">
        <f>IF(OR(M7="",M7=0),"",(R7/M7*9))</f>
        <v>3.4225352112676055</v>
      </c>
      <c r="F7" s="16">
        <v>33</v>
      </c>
      <c r="G7" s="16">
        <v>33</v>
      </c>
      <c r="H7" s="16">
        <v>2</v>
      </c>
      <c r="I7" s="16">
        <v>2</v>
      </c>
      <c r="J7" s="16">
        <v>0</v>
      </c>
      <c r="K7" s="16">
        <v>0</v>
      </c>
      <c r="L7" s="16">
        <v>0</v>
      </c>
      <c r="M7" s="18">
        <f>IF(N7="","",(INT(N7)+(N7-INT(N7))*10/3))</f>
        <v>213</v>
      </c>
      <c r="N7" s="16">
        <v>213</v>
      </c>
      <c r="O7" s="16">
        <v>894</v>
      </c>
      <c r="P7" s="16">
        <v>210</v>
      </c>
      <c r="Q7" s="16">
        <v>90</v>
      </c>
      <c r="R7" s="16">
        <v>81</v>
      </c>
      <c r="S7" s="16">
        <v>20</v>
      </c>
      <c r="T7" s="16">
        <v>64</v>
      </c>
      <c r="U7" s="16">
        <v>0</v>
      </c>
      <c r="V7" s="16">
        <v>3</v>
      </c>
      <c r="W7" s="16">
        <v>9</v>
      </c>
      <c r="X7" s="16">
        <v>1</v>
      </c>
      <c r="Y7" s="16">
        <v>189</v>
      </c>
      <c r="Z7" s="17">
        <f>IF(OR(M7="",M7=0),"",((13*S7+3*(T7+V7)-2*Y7)/M7+League!$Y$2))</f>
        <v>3.4375256681608688</v>
      </c>
      <c r="AA7" s="16">
        <f>VLOOKUP(B7,BPF!$A$2:$B$31,2,FALSE)</f>
        <v>106</v>
      </c>
      <c r="AB7" s="19">
        <f>IF(OR(E7="",E7=0),"",(E7/(League!$E$3*AA7/100)*100))</f>
        <v>80.858295892070302</v>
      </c>
      <c r="AC7" s="19">
        <f>IF(OR(Z7="",Z7=0),"",(Z7/(League!$Y$3*AA7/100)*100))</f>
        <v>81.773561097076282</v>
      </c>
      <c r="AD7" s="20">
        <f>IF(OR((C7+D7)="",(C7+D7)=0),"",(C7/(C7+D7)))</f>
        <v>0.52631578947368418</v>
      </c>
      <c r="AE7" s="17">
        <f>IF(OR(F7="",F7=0),"",(M7/F7))</f>
        <v>6.4545454545454541</v>
      </c>
      <c r="AF7" s="17">
        <f>IF(OR(AA7="",AA7=0,League!$Q$7="",League!$Q$7=0),"",(Z7*100/AA7*(League!$P$7/League!$Q$7)))</f>
        <v>3.5155185065137293</v>
      </c>
      <c r="AG7" s="34">
        <f>(1.19*AE7-0.056*AF7+1.71)*League!$AB$4</f>
        <v>9.2906754045655902</v>
      </c>
      <c r="AH7" s="17">
        <f>IF(OR(League!$Q$3="",League!$Q$3=0),"",(League!$Y$3*(League!$P$3/League!$Q$3)))</f>
        <v>4.277699473514514</v>
      </c>
      <c r="AI7" s="17">
        <f>IF(OR(League!$Q$4="",League!$Q$4=0,AA7="",AA7=0,F7="",F7=0,League!$G$3="",League!$G$3=0,League!$Q$5="",League!$Q$5=0),"",((Z7/(AA7/100)/9*(League!$P$4/League!$Q$4)*(M7/F7)+(League!$M$3/League!$G$3-M7/F7)*(League!$Y$5/9*League!$P$5/League!$Q$5))/(League!$M$3/League!$G$3)*9))</f>
        <v>3.6498286576833641</v>
      </c>
      <c r="AJ7" s="17">
        <f>IF(AH7="","",((AH7+AI7)^0.287))</f>
        <v>1.8115592639274496</v>
      </c>
      <c r="AK7" s="21">
        <f>IF(AM7="","",(AM7*F7))</f>
        <v>18.856140990767308</v>
      </c>
      <c r="AL7" s="21">
        <f>IF(AK7="","",(F7-AK7))</f>
        <v>14.143859009232692</v>
      </c>
      <c r="AM7" s="20">
        <f>IF(AJ7="","",(AH7^AJ7/(AH7^AJ7+AI7^AJ7)))</f>
        <v>0.57139821184143358</v>
      </c>
      <c r="AN7" s="38">
        <f>IF(OR(AG7="",AG7=0),"",IF(((M7/AG7)&gt;=F7),AK7,IF(OR(AM7=1,(AK7-(F7-M7/AG7)*League!$AA$5)&gt;=AK7),AK7,IF(OR(AM7=0,(AK7-(F7-M7/AG7)*League!$AA$5)&lt;=0),0,(AK7-(F7-M7/AG7)*League!$AA$5)))))</f>
        <v>13.78606619870733</v>
      </c>
      <c r="AO7" s="38">
        <f>IF(OR(AG7="",AG7=0),"",IF((M7/AG7)&gt;=F7,AL7,(M7/AG7-AN7)))</f>
        <v>9.1401464526708818</v>
      </c>
      <c r="AP7" s="20">
        <f>IF(OR(AN7="",(AN7+AO7)=0),"",(AN7/(AN7+AO7)))</f>
        <v>0.6013233152959776</v>
      </c>
      <c r="AQ7" s="22">
        <f>IF(AN7="","",((C7-AN7)+(AO7-D7)))</f>
        <v>-3.6459197460364479</v>
      </c>
      <c r="AR7" s="14"/>
      <c r="AS7" s="14"/>
      <c r="AT7" s="13"/>
      <c r="AU7" s="14"/>
      <c r="AV7" s="14"/>
      <c r="AW7" s="13"/>
      <c r="AX7" s="14"/>
    </row>
    <row r="8" spans="1:50" x14ac:dyDescent="0.3">
      <c r="A8" s="15" t="s">
        <v>27</v>
      </c>
      <c r="B8" s="16" t="s">
        <v>28</v>
      </c>
      <c r="C8" s="16">
        <v>14</v>
      </c>
      <c r="D8" s="16">
        <v>8</v>
      </c>
      <c r="E8" s="57">
        <f>IF(OR(M8="",M8=0),"",(R8/M8*9))</f>
        <v>2.5714285714285712</v>
      </c>
      <c r="F8" s="16">
        <v>29</v>
      </c>
      <c r="G8" s="16">
        <v>29</v>
      </c>
      <c r="H8" s="16">
        <v>1</v>
      </c>
      <c r="I8" s="16">
        <v>1</v>
      </c>
      <c r="J8" s="16">
        <v>0</v>
      </c>
      <c r="K8" s="16">
        <v>0</v>
      </c>
      <c r="L8" s="16">
        <v>0</v>
      </c>
      <c r="M8" s="18">
        <f>IF(N8="","",(INT(N8)+(N8-INT(N8))*10/3))</f>
        <v>182</v>
      </c>
      <c r="N8" s="16">
        <v>182</v>
      </c>
      <c r="O8" s="16">
        <v>746</v>
      </c>
      <c r="P8" s="16">
        <v>156</v>
      </c>
      <c r="Q8" s="16">
        <v>56</v>
      </c>
      <c r="R8" s="16">
        <v>52</v>
      </c>
      <c r="S8" s="16">
        <v>9</v>
      </c>
      <c r="T8" s="16">
        <v>54</v>
      </c>
      <c r="U8" s="16">
        <v>1</v>
      </c>
      <c r="V8" s="16">
        <v>2</v>
      </c>
      <c r="W8" s="16">
        <v>7</v>
      </c>
      <c r="X8" s="16">
        <v>0</v>
      </c>
      <c r="Y8" s="16">
        <v>202</v>
      </c>
      <c r="Z8" s="57">
        <f>IF(OR(M8="",M8=0),"",((13*S8+3*(T8+V8)-2*Y8)/M8+League!$Y$2))</f>
        <v>2.3940081528123676</v>
      </c>
      <c r="AA8" s="16">
        <f>VLOOKUP(B8,BPF!$A$2:$B$31,2,FALSE)</f>
        <v>102</v>
      </c>
      <c r="AB8" s="59">
        <f>IF(OR(E8="",E8=0),"",(E8/(League!$E$3*AA8/100)*100))</f>
        <v>63.133056840307191</v>
      </c>
      <c r="AC8" s="59">
        <f>IF(OR(Z8="",Z8=0),"",(Z8/(League!$Y$3*AA8/100)*100))</f>
        <v>59.183177686178354</v>
      </c>
      <c r="AD8" s="20">
        <f>IF(OR((C8+D8)="",(C8+D8)=0),"",(C8/(C8+D8)))</f>
        <v>0.63636363636363635</v>
      </c>
      <c r="AE8" s="17">
        <f>IF(OR(F8="",F8=0),"",(M8/F8))</f>
        <v>6.2758620689655169</v>
      </c>
      <c r="AF8" s="17">
        <f>IF(OR(AA8="",AA8=0,League!$Q$7="",League!$Q$7=0),"",(Z8*100/AA8*(League!$P$7/League!$Q$7)))</f>
        <v>2.5443377252833046</v>
      </c>
      <c r="AG8" s="34">
        <f>(1.19*AE8-0.056*AF8+1.71)*League!$AB$4</f>
        <v>9.130765019316831</v>
      </c>
      <c r="AH8" s="17">
        <f>IF(OR(League!$Q$3="",League!$Q$3=0),"",(League!$Y$3*(League!$P$3/League!$Q$3)))</f>
        <v>4.277699473514514</v>
      </c>
      <c r="AI8" s="17">
        <f>IF(OR(League!$Q$4="",League!$Q$4=0,AA8="",AA8=0,F8="",F8=0,League!$G$3="",League!$G$3=0,League!$Q$5="",League!$Q$5=0),"",((Z8/(AA8/100)/9*(League!$P$4/League!$Q$4)*(M8/F8)+(League!$M$3/League!$G$3-M8/F8)*(League!$Y$5/9*League!$P$5/League!$Q$5))/(League!$M$3/League!$G$3)*9))</f>
        <v>2.9857580655733327</v>
      </c>
      <c r="AJ8" s="17">
        <f>IF(AH8="","",((AH8+AI8)^0.287))</f>
        <v>1.7666403943728</v>
      </c>
      <c r="AK8" s="21">
        <f>IF(AM8="","",(AM8*F8))</f>
        <v>18.956467024368933</v>
      </c>
      <c r="AL8" s="21">
        <f>IF(AK8="","",(F8-AK8))</f>
        <v>10.043532975631067</v>
      </c>
      <c r="AM8" s="48">
        <f>IF(AJ8="","",(AH8^AJ8/(AH8^AJ8+AI8^AJ8)))</f>
        <v>0.65367127670237701</v>
      </c>
      <c r="AN8" s="38">
        <f>IF(OR(AG8="",AG8=0),"",IF(((M8/AG8)&gt;=F8),AK8,IF(OR(AM8=1,(AK8-(F8-M8/AG8)*League!$AA$5)&gt;=AK8),AK8,IF(OR(AM8=0,(AK8-(F8-M8/AG8)*League!$AA$5)&lt;=0),0,(AK8-(F8-M8/AG8)*League!$AA$5)))))</f>
        <v>14.392906991293255</v>
      </c>
      <c r="AO8" s="38">
        <f>IF(OR(AG8="",AG8=0),"",IF((M8/AG8)&gt;=F8,AL8,(M8/AG8-AN8)))</f>
        <v>5.5397054037213032</v>
      </c>
      <c r="AP8" s="48">
        <f>IF(OR(AN8="",(AN8+AO8)=0),"",(AN8/(AN8+AO8)))</f>
        <v>0.72207830594714895</v>
      </c>
      <c r="AQ8" s="22">
        <f>IF(AN8="","",((C8-AN8)+(AO8-D8)))</f>
        <v>-2.8532015875719523</v>
      </c>
      <c r="AR8" s="14"/>
      <c r="AS8" s="14"/>
      <c r="AT8" s="13"/>
      <c r="AU8" s="14"/>
      <c r="AV8" s="14"/>
      <c r="AW8" s="13"/>
      <c r="AX8" s="14"/>
    </row>
    <row r="9" spans="1:50" x14ac:dyDescent="0.3">
      <c r="A9" s="15" t="s">
        <v>66</v>
      </c>
      <c r="B9" s="16" t="s">
        <v>67</v>
      </c>
      <c r="C9" s="16">
        <v>9</v>
      </c>
      <c r="D9" s="16">
        <v>13</v>
      </c>
      <c r="E9" s="17">
        <f>IF(OR(M9="",M9=0),"",(R9/M9*9))</f>
        <v>4.1762589928057556</v>
      </c>
      <c r="F9" s="16">
        <v>31</v>
      </c>
      <c r="G9" s="16">
        <v>31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8">
        <f>IF(N9="","",(INT(N9)+(N9-INT(N9))*10/3))</f>
        <v>185.33333333333331</v>
      </c>
      <c r="N9" s="16">
        <v>185.1</v>
      </c>
      <c r="O9" s="16">
        <v>792</v>
      </c>
      <c r="P9" s="16">
        <v>218</v>
      </c>
      <c r="Q9" s="16">
        <v>89</v>
      </c>
      <c r="R9" s="16">
        <v>86</v>
      </c>
      <c r="S9" s="16">
        <v>24</v>
      </c>
      <c r="T9" s="16">
        <v>45</v>
      </c>
      <c r="U9" s="16">
        <v>1</v>
      </c>
      <c r="V9" s="16">
        <v>2</v>
      </c>
      <c r="W9" s="16">
        <v>2</v>
      </c>
      <c r="X9" s="16">
        <v>0</v>
      </c>
      <c r="Y9" s="16">
        <v>101</v>
      </c>
      <c r="Z9" s="17">
        <f>IF(OR(M9="",M9=0),"",((13*S9+3*(T9+V9)-2*Y9)/M9+League!$Y$2))</f>
        <v>4.4021708534211115</v>
      </c>
      <c r="AA9" s="16">
        <f>VLOOKUP(B9,BPF!$A$2:$B$31,2,FALSE)</f>
        <v>100</v>
      </c>
      <c r="AB9" s="19">
        <f>IF(OR(E9="",E9=0),"",(E9/(League!$E$3*AA9/100)*100))</f>
        <v>104.58513189448442</v>
      </c>
      <c r="AC9" s="19">
        <f>IF(OR(Z9="",Z9=0),"",(Z9/(League!$Y$3*AA9/100)*100))</f>
        <v>111.00427904024093</v>
      </c>
      <c r="AD9" s="20">
        <f>IF(OR((C9+D9)="",(C9+D9)=0),"",(C9/(C9+D9)))</f>
        <v>0.40909090909090912</v>
      </c>
      <c r="AE9" s="17">
        <f>IF(OR(F9="",F9=0),"",(M9/F9))</f>
        <v>5.9784946236559131</v>
      </c>
      <c r="AF9" s="17">
        <f>IF(OR(AA9="",AA9=0,League!$Q$7="",League!$Q$7=0),"",(Z9*100/AA9*(League!$P$7/League!$Q$7)))</f>
        <v>4.7721732065076168</v>
      </c>
      <c r="AG9" s="34">
        <f>(1.19*AE9-0.056*AF9+1.71)*League!$AB$4</f>
        <v>8.6471083009176439</v>
      </c>
      <c r="AH9" s="17">
        <f>IF(OR(League!$Q$3="",League!$Q$3=0),"",(League!$Y$3*(League!$P$3/League!$Q$3)))</f>
        <v>4.277699473514514</v>
      </c>
      <c r="AI9" s="17">
        <f>IF(OR(League!$Q$4="",League!$Q$4=0,AA9="",AA9=0,F9="",F9=0,League!$G$3="",League!$G$3=0,League!$Q$5="",League!$Q$5=0),"",((Z9/(AA9/100)/9*(League!$P$4/League!$Q$4)*(M9/F9)+(League!$M$3/League!$G$3-M9/F9)*(League!$Y$5/9*League!$P$5/League!$Q$5))/(League!$M$3/League!$G$3)*9))</f>
        <v>4.5120569154949957</v>
      </c>
      <c r="AJ9" s="17">
        <f>IF(AH9="","",((AH9+AI9)^0.287))</f>
        <v>1.866041734755995</v>
      </c>
      <c r="AK9" s="21">
        <f>IF(AM9="","",(AM9*F9))</f>
        <v>14.729274744331754</v>
      </c>
      <c r="AL9" s="21">
        <f>IF(AK9="","",(F9-AK9))</f>
        <v>16.270725255668246</v>
      </c>
      <c r="AM9" s="20">
        <f>IF(AJ9="","",(AH9^AJ9/(AH9^AJ9+AI9^AJ9)))</f>
        <v>0.47513789497844366</v>
      </c>
      <c r="AN9" s="38">
        <f>IF(OR(AG9="",AG9=0),"",IF(((M9/AG9)&gt;=F9),AK9,IF(OR(AM9=1,(AK9-(F9-M9/AG9)*League!$AA$5)&gt;=AK9),AK9,IF(OR(AM9=0,(AK9-(F9-M9/AG9)*League!$AA$5)&lt;=0),0,(AK9-(F9-M9/AG9)*League!$AA$5)))))</f>
        <v>9.9142548032789648</v>
      </c>
      <c r="AO9" s="38">
        <f>IF(OR(AG9="",AG9=0),"",IF((M9/AG9)&gt;=F9,AL9,(M9/AG9-AN9)))</f>
        <v>11.518729135833429</v>
      </c>
      <c r="AP9" s="20">
        <f>IF(OR(AN9="",(AN9+AO9)=0),"",(AN9/(AN9+AO9)))</f>
        <v>0.46256997305852249</v>
      </c>
      <c r="AQ9" s="22">
        <f>IF(AN9="","",((C9-AN9)+(AO9-D9)))</f>
        <v>-2.3955256674455363</v>
      </c>
      <c r="AR9" s="14"/>
      <c r="AS9" s="14"/>
      <c r="AT9" s="13"/>
      <c r="AU9" s="14"/>
      <c r="AV9" s="14"/>
      <c r="AW9" s="13"/>
      <c r="AX9" s="14"/>
    </row>
    <row r="10" spans="1:50" x14ac:dyDescent="0.3">
      <c r="A10" s="15" t="s">
        <v>38</v>
      </c>
      <c r="B10" s="16" t="s">
        <v>39</v>
      </c>
      <c r="C10" s="16">
        <v>10</v>
      </c>
      <c r="D10" s="16">
        <v>8</v>
      </c>
      <c r="E10" s="17">
        <f>IF(OR(M10="",M10=0),"",(R10/M10*9))</f>
        <v>3.3267857142857151</v>
      </c>
      <c r="F10" s="16">
        <v>27</v>
      </c>
      <c r="G10" s="16">
        <v>27</v>
      </c>
      <c r="H10" s="43">
        <v>4</v>
      </c>
      <c r="I10" s="16">
        <v>0</v>
      </c>
      <c r="J10" s="16">
        <v>0</v>
      </c>
      <c r="K10" s="16">
        <v>0</v>
      </c>
      <c r="L10" s="16">
        <v>0</v>
      </c>
      <c r="M10" s="18">
        <f>IF(N10="","",(INT(N10)+(N10-INT(N10))*10/3))</f>
        <v>186.66666666666663</v>
      </c>
      <c r="N10" s="16">
        <v>186.2</v>
      </c>
      <c r="O10" s="16">
        <v>740</v>
      </c>
      <c r="P10" s="16">
        <v>178</v>
      </c>
      <c r="Q10" s="16">
        <v>78</v>
      </c>
      <c r="R10" s="16">
        <v>69</v>
      </c>
      <c r="S10" s="16">
        <v>16</v>
      </c>
      <c r="T10" s="16">
        <v>27</v>
      </c>
      <c r="U10" s="16">
        <v>0</v>
      </c>
      <c r="V10" s="16">
        <v>3</v>
      </c>
      <c r="W10" s="16">
        <v>6</v>
      </c>
      <c r="X10" s="16">
        <v>0</v>
      </c>
      <c r="Y10" s="16">
        <v>151</v>
      </c>
      <c r="Z10" s="17">
        <f>IF(OR(M10="",M10=0),"",((13*S10+3*(T10+V10)-2*Y10)/M10+League!$Y$2))</f>
        <v>3.02642573522995</v>
      </c>
      <c r="AA10" s="16">
        <f>VLOOKUP(B10,BPF!$A$2:$B$31,2,FALSE)</f>
        <v>95</v>
      </c>
      <c r="AB10" s="19">
        <f>IF(OR(E10="",E10=0),"",(E10/(League!$E$3*AA10/100)*100))</f>
        <v>87.69680013988463</v>
      </c>
      <c r="AC10" s="19">
        <f>IF(OR(Z10="",Z10=0),"",(Z10/(League!$Y$3*AA10/100)*100))</f>
        <v>80.330272924073071</v>
      </c>
      <c r="AD10" s="20">
        <f>IF(OR((C10+D10)="",(C10+D10)=0),"",(C10/(C10+D10)))</f>
        <v>0.55555555555555558</v>
      </c>
      <c r="AE10" s="17">
        <f>IF(OR(F10="",F10=0),"",(M10/F10))</f>
        <v>6.913580246913579</v>
      </c>
      <c r="AF10" s="17">
        <f>IF(OR(AA10="",AA10=0,League!$Q$7="",League!$Q$7=0),"",(Z10*100/AA10*(League!$P$7/League!$Q$7)))</f>
        <v>3.453470257491019</v>
      </c>
      <c r="AG10" s="34">
        <f>(1.19*AE10-0.056*AF10+1.71)*League!$AB$4</f>
        <v>9.8461794888856371</v>
      </c>
      <c r="AH10" s="17">
        <f>IF(OR(League!$Q$3="",League!$Q$3=0),"",(League!$Y$3*(League!$P$3/League!$Q$3)))</f>
        <v>4.277699473514514</v>
      </c>
      <c r="AI10" s="17">
        <f>IF(OR(League!$Q$4="",League!$Q$4=0,AA10="",AA10=0,F10="",F10=0,League!$G$3="",League!$G$3=0,League!$Q$5="",League!$Q$5=0),"",((Z10/(AA10/100)/9*(League!$P$4/League!$Q$4)*(M10/F10)+(League!$M$3/League!$G$3-M10/F10)*(League!$Y$5/9*League!$P$5/League!$Q$5))/(League!$M$3/League!$G$3)*9))</f>
        <v>3.5735109935457907</v>
      </c>
      <c r="AJ10" s="17">
        <f>IF(AH10="","",((AH10+AI10)^0.287))</f>
        <v>1.8065367877602998</v>
      </c>
      <c r="AK10" s="21">
        <f>IF(AM10="","",(AM10*F10))</f>
        <v>15.674221079959244</v>
      </c>
      <c r="AL10" s="21">
        <f>IF(AK10="","",(F10-AK10))</f>
        <v>11.325778920040756</v>
      </c>
      <c r="AM10" s="20">
        <f>IF(AJ10="","",(AH10^AJ10/(AH10^AJ10+AI10^AJ10)))</f>
        <v>0.58052670666515716</v>
      </c>
      <c r="AN10" s="38">
        <f>IF(OR(AG10="",AG10=0),"",IF(((M10/AG10)&gt;=F10),AK10,IF(OR(AM10=1,(AK10-(F10-M10/AG10)*League!$AA$5)&gt;=AK10),AK10,IF(OR(AM10=0,(AK10-(F10-M10/AG10)*League!$AA$5)&lt;=0),0,(AK10-(F10-M10/AG10)*League!$AA$5)))))</f>
        <v>11.626875193971792</v>
      </c>
      <c r="AO10" s="38">
        <f>IF(OR(AG10="",AG10=0),"",IF((M10/AG10)&gt;=F10,AL10,(M10/AG10-AN10)))</f>
        <v>7.3314087655452873</v>
      </c>
      <c r="AP10" s="20">
        <f>IF(OR(AN10="",(AN10+AO10)=0),"",(AN10/(AN10+AO10)))</f>
        <v>0.61328732172170508</v>
      </c>
      <c r="AQ10" s="22">
        <f>IF(AN10="","",((C10-AN10)+(AO10-D10)))</f>
        <v>-2.2954664284265043</v>
      </c>
      <c r="AR10" s="14"/>
      <c r="AS10" s="14"/>
      <c r="AT10" s="13"/>
      <c r="AU10" s="14"/>
      <c r="AV10" s="14"/>
      <c r="AW10" s="13"/>
      <c r="AX10" s="14"/>
    </row>
    <row r="11" spans="1:50" x14ac:dyDescent="0.3">
      <c r="A11" s="15" t="s">
        <v>68</v>
      </c>
      <c r="B11" s="16" t="s">
        <v>26</v>
      </c>
      <c r="C11" s="16">
        <v>11</v>
      </c>
      <c r="D11" s="16">
        <v>11</v>
      </c>
      <c r="E11" s="17">
        <f>IF(OR(M11="",M11=0),"",(R11/M11*9))</f>
        <v>3.7392086330935252</v>
      </c>
      <c r="F11" s="16">
        <v>30</v>
      </c>
      <c r="G11" s="16">
        <v>30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8">
        <f>IF(N11="","",(INT(N11)+(N11-INT(N11))*10/3))</f>
        <v>185.33333333333331</v>
      </c>
      <c r="N11" s="16">
        <v>185.1</v>
      </c>
      <c r="O11" s="16">
        <v>784</v>
      </c>
      <c r="P11" s="16">
        <v>198</v>
      </c>
      <c r="Q11" s="16">
        <v>85</v>
      </c>
      <c r="R11" s="16">
        <v>77</v>
      </c>
      <c r="S11" s="16">
        <v>17</v>
      </c>
      <c r="T11" s="16">
        <v>48</v>
      </c>
      <c r="U11" s="16">
        <v>1</v>
      </c>
      <c r="V11" s="16">
        <v>4</v>
      </c>
      <c r="W11" s="16">
        <v>6</v>
      </c>
      <c r="X11" s="16">
        <v>0</v>
      </c>
      <c r="Y11" s="16">
        <v>128</v>
      </c>
      <c r="Z11" s="17">
        <f>IF(OR(M11="",M11=0),"",((13*S11+3*(T11+V11)-2*Y11)/M11+League!$Y$2))</f>
        <v>3.7007320045002481</v>
      </c>
      <c r="AA11" s="16">
        <f>VLOOKUP(B11,BPF!$A$2:$B$31,2,FALSE)</f>
        <v>103</v>
      </c>
      <c r="AB11" s="19">
        <f>IF(OR(E11="",E11=0),"",(E11/(League!$E$3*AA11/100)*100))</f>
        <v>90.912792457386544</v>
      </c>
      <c r="AC11" s="19">
        <f>IF(OR(Z11="",Z11=0),"",(Z11/(League!$Y$3*AA11/100)*100))</f>
        <v>90.598965290100182</v>
      </c>
      <c r="AD11" s="20">
        <f>IF(OR((C11+D11)="",(C11+D11)=0),"",(C11/(C11+D11)))</f>
        <v>0.5</v>
      </c>
      <c r="AE11" s="17">
        <f>IF(OR(F11="",F11=0),"",(M11/F11))</f>
        <v>6.1777777777777771</v>
      </c>
      <c r="AF11" s="17">
        <f>IF(OR(AA11="",AA11=0,League!$Q$7="",League!$Q$7=0),"",(Z11*100/AA11*(League!$P$7/League!$Q$7)))</f>
        <v>3.8949305236962446</v>
      </c>
      <c r="AG11" s="34">
        <f>(1.19*AE11-0.056*AF11+1.71)*League!$AB$4</f>
        <v>8.9363897554732823</v>
      </c>
      <c r="AH11" s="17">
        <f>IF(OR(League!$Q$3="",League!$Q$3=0),"",(League!$Y$3*(League!$P$3/League!$Q$3)))</f>
        <v>4.277699473514514</v>
      </c>
      <c r="AI11" s="17">
        <f>IF(OR(League!$Q$4="",League!$Q$4=0,AA11="",AA11=0,F11="",F11=0,League!$G$3="",League!$G$3=0,League!$Q$5="",League!$Q$5=0),"",((Z11/(AA11/100)/9*(League!$P$4/League!$Q$4)*(M11/F11)+(League!$M$3/League!$G$3-M11/F11)*(League!$Y$5/9*League!$P$5/League!$Q$5))/(League!$M$3/League!$G$3)*9))</f>
        <v>3.9268756648279579</v>
      </c>
      <c r="AJ11" s="17">
        <f>IF(AH11="","",((AH11+AI11)^0.287))</f>
        <v>1.829507102105896</v>
      </c>
      <c r="AK11" s="21">
        <f>IF(AM11="","",(AM11*F11))</f>
        <v>16.171756779970494</v>
      </c>
      <c r="AL11" s="21">
        <f>IF(AK11="","",(F11-AK11))</f>
        <v>13.828243220029506</v>
      </c>
      <c r="AM11" s="20">
        <f>IF(AJ11="","",(AH11^AJ11/(AH11^AJ11+AI11^AJ11)))</f>
        <v>0.53905855933234981</v>
      </c>
      <c r="AN11" s="38">
        <f>IF(OR(AG11="",AG11=0),"",IF(((M11/AG11)&gt;=F11),AK11,IF(OR(AM11=1,(AK11-(F11-M11/AG11)*League!$AA$5)&gt;=AK11),AK11,IF(OR(AM11=0,(AK11-(F11-M11/AG11)*League!$AA$5)&lt;=0),0,(AK11-(F11-M11/AG11)*League!$AA$5)))))</f>
        <v>11.510839908445821</v>
      </c>
      <c r="AO11" s="38">
        <f>IF(OR(AG11="",AG11=0),"",IF((M11/AG11)&gt;=F11,AL11,(M11/AG11-AN11)))</f>
        <v>9.2283331138389286</v>
      </c>
      <c r="AP11" s="20">
        <f>IF(OR(AN11="",(AN11+AO11)=0),"",(AN11/(AN11+AO11)))</f>
        <v>0.5550288768060877</v>
      </c>
      <c r="AQ11" s="22">
        <f>IF(AN11="","",((C11-AN11)+(AO11-D11)))</f>
        <v>-2.282506794606892</v>
      </c>
      <c r="AR11" s="14"/>
      <c r="AS11" s="14"/>
      <c r="AT11" s="13"/>
      <c r="AU11" s="14"/>
      <c r="AV11" s="14"/>
      <c r="AW11" s="13"/>
      <c r="AX11" s="14"/>
    </row>
    <row r="12" spans="1:50" x14ac:dyDescent="0.3">
      <c r="A12" s="15" t="s">
        <v>70</v>
      </c>
      <c r="B12" s="16" t="s">
        <v>24</v>
      </c>
      <c r="C12" s="16">
        <v>11</v>
      </c>
      <c r="D12" s="16">
        <v>16</v>
      </c>
      <c r="E12" s="17">
        <f>IF(OR(M12="",M12=0),"",(R12/M12*9))</f>
        <v>5.2622950819672134</v>
      </c>
      <c r="F12" s="16">
        <v>32</v>
      </c>
      <c r="G12" s="16">
        <v>32</v>
      </c>
      <c r="H12" s="16">
        <v>2</v>
      </c>
      <c r="I12" s="16">
        <v>0</v>
      </c>
      <c r="J12" s="16">
        <v>0</v>
      </c>
      <c r="K12" s="16">
        <v>0</v>
      </c>
      <c r="L12" s="16">
        <v>0</v>
      </c>
      <c r="M12" s="18">
        <f>IF(N12="","",(INT(N12)+(N12-INT(N12))*10/3))</f>
        <v>183</v>
      </c>
      <c r="N12" s="16">
        <v>183</v>
      </c>
      <c r="O12" s="16">
        <v>820</v>
      </c>
      <c r="P12" s="16">
        <v>232</v>
      </c>
      <c r="Q12" s="16">
        <v>117</v>
      </c>
      <c r="R12" s="16">
        <v>107</v>
      </c>
      <c r="S12" s="16">
        <v>25</v>
      </c>
      <c r="T12" s="16">
        <v>61</v>
      </c>
      <c r="U12" s="16">
        <v>5</v>
      </c>
      <c r="V12" s="16">
        <v>4</v>
      </c>
      <c r="W12" s="16">
        <v>5</v>
      </c>
      <c r="X12" s="16">
        <v>0</v>
      </c>
      <c r="Y12" s="16">
        <v>107</v>
      </c>
      <c r="Z12" s="17">
        <f>IF(OR(M12="",M12=0),"",((13*S12+3*(T12+V12)-2*Y12)/M12+League!$Y$2))</f>
        <v>4.719985454199505</v>
      </c>
      <c r="AA12" s="16">
        <f>VLOOKUP(B12,BPF!$A$2:$B$31,2,FALSE)</f>
        <v>100</v>
      </c>
      <c r="AB12" s="19">
        <f>IF(OR(E12="",E12=0),"",(E12/(League!$E$3*AA12/100)*100))</f>
        <v>131.78249389305435</v>
      </c>
      <c r="AC12" s="19">
        <f>IF(OR(Z12="",Z12=0),"",(Z12/(League!$Y$3*AA12/100)*100))</f>
        <v>119.01822983918618</v>
      </c>
      <c r="AD12" s="20">
        <f>IF(OR((C12+D12)="",(C12+D12)=0),"",(C12/(C12+D12)))</f>
        <v>0.40740740740740738</v>
      </c>
      <c r="AE12" s="17">
        <f>IF(OR(F12="",F12=0),"",(M12/F12))</f>
        <v>5.71875</v>
      </c>
      <c r="AF12" s="17">
        <f>IF(OR(AA12="",AA12=0,League!$Q$7="",League!$Q$7=0),"",(Z12*100/AA12*(League!$P$7/League!$Q$7)))</f>
        <v>5.1167001167462098</v>
      </c>
      <c r="AG12" s="34">
        <f>(1.19*AE12-0.056*AF12+1.71)*League!$AB$4</f>
        <v>8.3152671030870646</v>
      </c>
      <c r="AH12" s="17">
        <f>IF(OR(League!$Q$3="",League!$Q$3=0),"",(League!$Y$3*(League!$P$3/League!$Q$3)))</f>
        <v>4.277699473514514</v>
      </c>
      <c r="AI12" s="17">
        <f>IF(OR(League!$Q$4="",League!$Q$4=0,AA12="",AA12=0,F12="",F12=0,League!$G$3="",League!$G$3=0,League!$Q$5="",League!$Q$5=0),"",((Z12/(AA12/100)/9*(League!$P$4/League!$Q$4)*(M12/F12)+(League!$M$3/League!$G$3-M12/F12)*(League!$Y$5/9*League!$P$5/League!$Q$5))/(League!$M$3/League!$G$3)*9))</f>
        <v>4.7104740969347887</v>
      </c>
      <c r="AJ12" s="17">
        <f>IF(AH12="","",((AH12+AI12)^0.287))</f>
        <v>1.8780351061759817</v>
      </c>
      <c r="AK12" s="21">
        <f>IF(AM12="","",(AM12*F12))</f>
        <v>14.556001700851791</v>
      </c>
      <c r="AL12" s="21">
        <f>IF(AK12="","",(F12-AK12))</f>
        <v>17.443998299148209</v>
      </c>
      <c r="AM12" s="20">
        <f>IF(AJ12="","",(AH12^AJ12/(AH12^AJ12+AI12^AJ12)))</f>
        <v>0.45487505315161847</v>
      </c>
      <c r="AN12" s="38">
        <f>IF(OR(AG12="",AG12=0),"",IF(((M12/AG12)&gt;=F12),AK12,IF(OR(AM12=1,(AK12-(F12-M12/AG12)*League!$AA$5)&gt;=AK12),AK12,IF(OR(AM12=0,(AK12-(F12-M12/AG12)*League!$AA$5)&lt;=0),0,(AK12-(F12-M12/AG12)*League!$AA$5)))))</f>
        <v>9.5269448079116952</v>
      </c>
      <c r="AO12" s="38">
        <f>IF(OR(AG12="",AG12=0),"",IF((M12/AG12)&gt;=F12,AL12,(M12/AG12-AN12)))</f>
        <v>12.480766758209947</v>
      </c>
      <c r="AP12" s="20">
        <f>IF(OR(AN12="",(AN12+AO12)=0),"",(AN12/(AN12+AO12)))</f>
        <v>0.43289120630685374</v>
      </c>
      <c r="AQ12" s="22">
        <f>IF(AN12="","",((C12-AN12)+(AO12-D12)))</f>
        <v>-2.0461780497017479</v>
      </c>
      <c r="AR12" s="14"/>
      <c r="AS12" s="14"/>
      <c r="AT12" s="13"/>
      <c r="AU12" s="14"/>
      <c r="AV12" s="14"/>
      <c r="AW12" s="13"/>
      <c r="AX12" s="14"/>
    </row>
    <row r="13" spans="1:50" x14ac:dyDescent="0.3">
      <c r="A13" s="15" t="s">
        <v>40</v>
      </c>
      <c r="B13" s="16" t="s">
        <v>41</v>
      </c>
      <c r="C13" s="16">
        <v>9</v>
      </c>
      <c r="D13" s="16">
        <v>10</v>
      </c>
      <c r="E13" s="17">
        <f>IF(OR(M13="",M13=0),"",(R13/M13*9))</f>
        <v>3.2417061611374409</v>
      </c>
      <c r="F13" s="16">
        <v>32</v>
      </c>
      <c r="G13" s="16">
        <v>32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8">
        <f>IF(N13="","",(INT(N13)+(N13-INT(N13))*10/3))</f>
        <v>211</v>
      </c>
      <c r="N13" s="16">
        <v>211</v>
      </c>
      <c r="O13" s="16">
        <v>859</v>
      </c>
      <c r="P13" s="16">
        <v>190</v>
      </c>
      <c r="Q13" s="16">
        <v>85</v>
      </c>
      <c r="R13" s="16">
        <v>76</v>
      </c>
      <c r="S13" s="16">
        <v>26</v>
      </c>
      <c r="T13" s="16">
        <v>51</v>
      </c>
      <c r="U13" s="16">
        <v>3</v>
      </c>
      <c r="V13" s="16">
        <v>6</v>
      </c>
      <c r="W13" s="16">
        <v>6</v>
      </c>
      <c r="X13" s="16">
        <v>0</v>
      </c>
      <c r="Y13" s="16">
        <v>161</v>
      </c>
      <c r="Z13" s="17">
        <f>IF(OR(M13="",M13=0),"",((13*S13+3*(T13+V13)-2*Y13)/M13+League!$Y$2))</f>
        <v>3.9341102308291376</v>
      </c>
      <c r="AA13" s="16">
        <f>VLOOKUP(B13,BPF!$A$2:$B$31,2,FALSE)</f>
        <v>102</v>
      </c>
      <c r="AB13" s="19">
        <f>IF(OR(E13="",E13=0),"",(E13/(League!$E$3*AA13/100)*100))</f>
        <v>79.589540850813805</v>
      </c>
      <c r="AC13" s="19">
        <f>IF(OR(Z13="",Z13=0),"",(Z13/(League!$Y$3*AA13/100)*100))</f>
        <v>97.256621517621667</v>
      </c>
      <c r="AD13" s="20">
        <f>IF(OR((C13+D13)="",(C13+D13)=0),"",(C13/(C13+D13)))</f>
        <v>0.47368421052631576</v>
      </c>
      <c r="AE13" s="17">
        <f>IF(OR(F13="",F13=0),"",(M13/F13))</f>
        <v>6.59375</v>
      </c>
      <c r="AF13" s="17">
        <f>IF(OR(AA13="",AA13=0,League!$Q$7="",League!$Q$7=0),"",(Z13*100/AA13*(League!$P$7/League!$Q$7)))</f>
        <v>4.181149117626294</v>
      </c>
      <c r="AG13" s="34">
        <f>(1.19*AE13-0.056*AF13+1.71)*League!$AB$4</f>
        <v>9.420402836837459</v>
      </c>
      <c r="AH13" s="17">
        <f>IF(OR(League!$Q$3="",League!$Q$3=0),"",(League!$Y$3*(League!$P$3/League!$Q$3)))</f>
        <v>4.277699473514514</v>
      </c>
      <c r="AI13" s="17">
        <f>IF(OR(League!$Q$4="",League!$Q$4=0,AA13="",AA13=0,F13="",F13=0,League!$G$3="",League!$G$3=0,League!$Q$5="",League!$Q$5=0),"",((Z13/(AA13/100)/9*(League!$P$4/League!$Q$4)*(M13/F13)+(League!$M$3/League!$G$3-M13/F13)*(League!$Y$5/9*League!$P$5/League!$Q$5))/(League!$M$3/League!$G$3)*9))</f>
        <v>4.1273645815788917</v>
      </c>
      <c r="AJ13" s="17">
        <f>IF(AH13="","",((AH13+AI13)^0.287))</f>
        <v>1.842227559068172</v>
      </c>
      <c r="AK13" s="21">
        <f>IF(AM13="","",(AM13*F13))</f>
        <v>16.527073484739223</v>
      </c>
      <c r="AL13" s="21">
        <f>IF(AK13="","",(F13-AK13))</f>
        <v>15.472926515260777</v>
      </c>
      <c r="AM13" s="20">
        <f>IF(AJ13="","",(AH13^AJ13/(AH13^AJ13+AI13^AJ13)))</f>
        <v>0.51647104639810071</v>
      </c>
      <c r="AN13" s="38">
        <f>IF(OR(AG13="",AG13=0),"",IF(((M13/AG13)&gt;=F13),AK13,IF(OR(AM13=1,(AK13-(F13-M13/AG13)*League!$AA$5)&gt;=AK13),AK13,IF(OR(AM13=0,(AK13-(F13-M13/AG13)*League!$AA$5)&lt;=0),0,(AK13-(F13-M13/AG13)*League!$AA$5)))))</f>
        <v>11.694543432602144</v>
      </c>
      <c r="AO13" s="38">
        <f>IF(OR(AG13="",AG13=0),"",IF((M13/AG13)&gt;=F13,AL13,(M13/AG13-AN13)))</f>
        <v>10.703649474277325</v>
      </c>
      <c r="AP13" s="20">
        <f>IF(OR(AN13="",(AN13+AO13)=0),"",(AN13/(AN13+AO13)))</f>
        <v>0.52211995321328963</v>
      </c>
      <c r="AQ13" s="22">
        <f>IF(AN13="","",((C13-AN13)+(AO13-D13)))</f>
        <v>-1.9908939583248184</v>
      </c>
      <c r="AR13" s="14"/>
      <c r="AS13" s="14"/>
      <c r="AT13" s="13"/>
      <c r="AU13" s="14"/>
      <c r="AV13" s="14"/>
      <c r="AW13" s="13"/>
      <c r="AX13" s="14"/>
    </row>
    <row r="14" spans="1:50" x14ac:dyDescent="0.3">
      <c r="A14" s="15" t="s">
        <v>29</v>
      </c>
      <c r="B14" s="16" t="s">
        <v>30</v>
      </c>
      <c r="C14" s="16">
        <v>13</v>
      </c>
      <c r="D14" s="16">
        <v>9</v>
      </c>
      <c r="E14" s="17">
        <f>IF(OR(M14="",M14=0),"",(R14/M14*9))</f>
        <v>2.8330683624801276</v>
      </c>
      <c r="F14" s="16">
        <v>32</v>
      </c>
      <c r="G14" s="16">
        <v>32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8">
        <f>IF(N14="","",(INT(N14)+(N14-INT(N14))*10/3))</f>
        <v>209.66666666666663</v>
      </c>
      <c r="N14" s="16">
        <v>209.2</v>
      </c>
      <c r="O14" s="16">
        <v>841</v>
      </c>
      <c r="P14" s="16">
        <v>145</v>
      </c>
      <c r="Q14" s="16">
        <v>68</v>
      </c>
      <c r="R14" s="16">
        <v>66</v>
      </c>
      <c r="S14" s="16">
        <v>26</v>
      </c>
      <c r="T14" s="16">
        <v>80</v>
      </c>
      <c r="U14" s="16">
        <v>1</v>
      </c>
      <c r="V14" s="16">
        <v>8</v>
      </c>
      <c r="W14" s="16">
        <v>7</v>
      </c>
      <c r="X14" s="16">
        <v>1</v>
      </c>
      <c r="Y14" s="44">
        <v>277</v>
      </c>
      <c r="Z14" s="17">
        <f>IF(OR(M14="",M14=0),"",((13*S14+3*(T14+V14)-2*Y14)/M14+League!$Y$2))</f>
        <v>3.2767891238286326</v>
      </c>
      <c r="AA14" s="16">
        <f>VLOOKUP(B14,BPF!$A$2:$B$31,2,FALSE)</f>
        <v>106</v>
      </c>
      <c r="AB14" s="19">
        <f>IF(OR(E14="",E14=0),"",(E14/(League!$E$3*AA14/100)*100))</f>
        <v>66.931986318714266</v>
      </c>
      <c r="AC14" s="19">
        <f>IF(OR(Z14="",Z14=0),"",(Z14/(League!$Y$3*AA14/100)*100))</f>
        <v>77.949880666053559</v>
      </c>
      <c r="AD14" s="20">
        <f>IF(OR((C14+D14)="",(C14+D14)=0),"",(C14/(C14+D14)))</f>
        <v>0.59090909090909094</v>
      </c>
      <c r="AE14" s="17">
        <f>IF(OR(F14="",F14=0),"",(M14/F14))</f>
        <v>6.5520833333333321</v>
      </c>
      <c r="AF14" s="17">
        <f>IF(OR(AA14="",AA14=0,League!$Q$7="",League!$Q$7=0),"",(Z14*100/AA14*(League!$P$7/League!$Q$7)))</f>
        <v>3.351135065974836</v>
      </c>
      <c r="AG14" s="34">
        <f>(1.19*AE14-0.056*AF14+1.71)*League!$AB$4</f>
        <v>9.4172676806124969</v>
      </c>
      <c r="AH14" s="17">
        <f>IF(OR(League!$Q$3="",League!$Q$3=0),"",(League!$Y$3*(League!$P$3/League!$Q$3)))</f>
        <v>4.277699473514514</v>
      </c>
      <c r="AI14" s="17">
        <f>IF(OR(League!$Q$4="",League!$Q$4=0,AA14="",AA14=0,F14="",F14=0,League!$G$3="",League!$G$3=0,League!$Q$5="",League!$Q$5=0),"",((Z14/(AA14/100)/9*(League!$P$4/League!$Q$4)*(M14/F14)+(League!$M$3/League!$G$3-M14/F14)*(League!$Y$5/9*League!$P$5/League!$Q$5))/(League!$M$3/League!$G$3)*9))</f>
        <v>3.5243820129320387</v>
      </c>
      <c r="AJ14" s="17">
        <f>IF(AH14="","",((AH14+AI14)^0.287))</f>
        <v>1.8032851582695857</v>
      </c>
      <c r="AK14" s="21">
        <f>IF(AM14="","",(AM14*F14))</f>
        <v>18.76644530996704</v>
      </c>
      <c r="AL14" s="21">
        <f>IF(AK14="","",(F14-AK14))</f>
        <v>13.23355469003296</v>
      </c>
      <c r="AM14" s="20">
        <f>IF(AJ14="","",(AH14^AJ14/(AH14^AJ14+AI14^AJ14)))</f>
        <v>0.58645141593646999</v>
      </c>
      <c r="AN14" s="38">
        <f>IF(OR(AG14="",AG14=0),"",IF(((M14/AG14)&gt;=F14),AK14,IF(OR(AM14=1,(AK14-(F14-M14/AG14)*League!$AA$5)&gt;=AK14),AK14,IF(OR(AM14=0,(AK14-(F14-M14/AG14)*League!$AA$5)&lt;=0),0,(AK14-(F14-M14/AG14)*League!$AA$5)))))</f>
        <v>13.866409881793501</v>
      </c>
      <c r="AO14" s="38">
        <f>IF(OR(AG14="",AG14=0),"",IF((M14/AG14)&gt;=F14,AL14,(M14/AG14-AN14)))</f>
        <v>8.3976558512334236</v>
      </c>
      <c r="AP14" s="20">
        <f>IF(OR(AN14="",(AN14+AO14)=0),"",(AN14/(AN14+AO14)))</f>
        <v>0.62281570886775695</v>
      </c>
      <c r="AQ14" s="22">
        <f>IF(AN14="","",((C14-AN14)+(AO14-D14)))</f>
        <v>-1.4687540305600777</v>
      </c>
      <c r="AR14" s="14"/>
      <c r="AS14" s="14"/>
      <c r="AT14" s="13"/>
      <c r="AU14" s="14"/>
      <c r="AV14" s="14"/>
      <c r="AW14" s="13"/>
      <c r="AX14" s="14"/>
    </row>
    <row r="15" spans="1:50" x14ac:dyDescent="0.3">
      <c r="A15" s="15" t="s">
        <v>54</v>
      </c>
      <c r="B15" s="16" t="s">
        <v>55</v>
      </c>
      <c r="C15" s="16">
        <v>10</v>
      </c>
      <c r="D15" s="16">
        <v>10</v>
      </c>
      <c r="E15" s="17">
        <f>IF(OR(M15="",M15=0),"",(R15/M15*9))</f>
        <v>4.1379310344827589</v>
      </c>
      <c r="F15" s="16">
        <v>30</v>
      </c>
      <c r="G15" s="16">
        <v>30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8">
        <f>IF(N15="","",(INT(N15)+(N15-INT(N15))*10/3))</f>
        <v>174</v>
      </c>
      <c r="N15" s="16">
        <v>174</v>
      </c>
      <c r="O15" s="16">
        <v>757</v>
      </c>
      <c r="P15" s="16">
        <v>192</v>
      </c>
      <c r="Q15" s="16">
        <v>87</v>
      </c>
      <c r="R15" s="16">
        <v>80</v>
      </c>
      <c r="S15" s="16">
        <v>17</v>
      </c>
      <c r="T15" s="16">
        <v>63</v>
      </c>
      <c r="U15" s="16">
        <v>0</v>
      </c>
      <c r="V15" s="16">
        <v>5</v>
      </c>
      <c r="W15" s="16">
        <v>4</v>
      </c>
      <c r="X15" s="16">
        <v>0</v>
      </c>
      <c r="Y15" s="16">
        <v>143</v>
      </c>
      <c r="Z15" s="17">
        <f>IF(OR(M15="",M15=0),"",((13*S15+3*(T15+V15)-2*Y15)/M15+League!$Y$2))</f>
        <v>3.8467048813711648</v>
      </c>
      <c r="AA15" s="19">
        <f>126/M15*BPF!B22+48/M15*BPF!B3</f>
        <v>100.10344827586206</v>
      </c>
      <c r="AB15" s="19">
        <f>IF(OR(E15="",E15=0),"",(E15/(League!$E$3*AA15/100)*100))</f>
        <v>103.5182054977135</v>
      </c>
      <c r="AC15" s="19">
        <f>IF(OR(Z15="",Z15=0),"",(Z15/(League!$Y$3*AA15/100)*100))</f>
        <v>96.897518942509635</v>
      </c>
      <c r="AD15" s="20">
        <f>IF(OR((C15+D15)="",(C15+D15)=0),"",(C15/(C15+D15)))</f>
        <v>0.5</v>
      </c>
      <c r="AE15" s="17">
        <f>IF(OR(F15="",F15=0),"",(M15/F15))</f>
        <v>5.8</v>
      </c>
      <c r="AF15" s="17">
        <f>IF(OR(AA15="",AA15=0,League!$Q$7="",League!$Q$7=0),"",(Z15*100/AA15*(League!$P$7/League!$Q$7)))</f>
        <v>4.1657109768433047</v>
      </c>
      <c r="AG15" s="34">
        <f>(1.19*AE15-0.056*AF15+1.71)*League!$AB$4</f>
        <v>8.466785992388429</v>
      </c>
      <c r="AH15" s="17">
        <f>IF(OR(League!$Q$3="",League!$Q$3=0),"",(League!$Y$3*(League!$P$3/League!$Q$3)))</f>
        <v>4.277699473514514</v>
      </c>
      <c r="AI15" s="17">
        <f>IF(OR(League!$Q$4="",League!$Q$4=0,AA15="",AA15=0,F15="",F15=0,League!$G$3="",League!$G$3=0,League!$Q$5="",League!$Q$5=0),"",((Z15/(AA15/100)/9*(League!$P$4/League!$Q$4)*(M15/F15)+(League!$M$3/League!$G$3-M15/F15)*(League!$Y$5/9*League!$P$5/League!$Q$5))/(League!$M$3/League!$G$3)*9))</f>
        <v>4.1086915535260653</v>
      </c>
      <c r="AJ15" s="17">
        <f>IF(AH15="","",((AH15+AI15)^0.287))</f>
        <v>1.8410520035028024</v>
      </c>
      <c r="AK15" s="21">
        <f>IF(AM15="","",(AM15*F15))</f>
        <v>15.556350905870183</v>
      </c>
      <c r="AL15" s="21">
        <f>IF(AK15="","",(F15-AK15))</f>
        <v>14.443649094129817</v>
      </c>
      <c r="AM15" s="20">
        <f>IF(AJ15="","",(AH15^AJ15/(AH15^AJ15+AI15^AJ15)))</f>
        <v>0.51854503019567277</v>
      </c>
      <c r="AN15" s="38">
        <f>IF(OR(AG15="",AG15=0),"",IF(((M15/AG15)&gt;=F15),AK15,IF(OR(AM15=1,(AK15-(F15-M15/AG15)*League!$AA$5)&gt;=AK15),AK15,IF(OR(AM15=0,(AK15-(F15-M15/AG15)*League!$AA$5)&lt;=0),0,(AK15-(F15-M15/AG15)*League!$AA$5)))))</f>
        <v>10.800673093246296</v>
      </c>
      <c r="AO15" s="38">
        <f>IF(OR(AG15="",AG15=0),"",IF((M15/AG15)&gt;=F15,AL15,(M15/AG15-AN15)))</f>
        <v>9.7502183732942029</v>
      </c>
      <c r="AP15" s="20">
        <f>IF(OR(AN15="",(AN15+AO15)=0),"",(AN15/(AN15+AO15)))</f>
        <v>0.52555740031186404</v>
      </c>
      <c r="AQ15" s="22">
        <f>IF(AN15="","",((C15-AN15)+(AO15-D15)))</f>
        <v>-1.0504547199520928</v>
      </c>
      <c r="AR15" s="14"/>
      <c r="AS15" s="14"/>
      <c r="AT15" s="13"/>
      <c r="AU15" s="14"/>
      <c r="AV15" s="14"/>
      <c r="AW15" s="13"/>
      <c r="AX15" s="14"/>
    </row>
    <row r="16" spans="1:50" x14ac:dyDescent="0.3">
      <c r="A16" s="15" t="s">
        <v>51</v>
      </c>
      <c r="B16" s="16" t="s">
        <v>32</v>
      </c>
      <c r="C16" s="16">
        <v>9</v>
      </c>
      <c r="D16" s="16">
        <v>7</v>
      </c>
      <c r="E16" s="17">
        <f>IF(OR(M16="",M16=0),"",(R16/M16*9))</f>
        <v>3.5100000000000002</v>
      </c>
      <c r="F16" s="16">
        <v>33</v>
      </c>
      <c r="G16" s="16">
        <v>33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8">
        <f>IF(N16="","",(INT(N16)+(N16-INT(N16))*10/3))</f>
        <v>200</v>
      </c>
      <c r="N16" s="16">
        <v>200</v>
      </c>
      <c r="O16" s="16">
        <v>832</v>
      </c>
      <c r="P16" s="16">
        <v>188</v>
      </c>
      <c r="Q16" s="16">
        <v>83</v>
      </c>
      <c r="R16" s="16">
        <v>78</v>
      </c>
      <c r="S16" s="16">
        <v>23</v>
      </c>
      <c r="T16" s="16">
        <v>56</v>
      </c>
      <c r="U16" s="16">
        <v>2</v>
      </c>
      <c r="V16" s="16">
        <v>5</v>
      </c>
      <c r="W16" s="16">
        <v>2</v>
      </c>
      <c r="X16" s="16">
        <v>1</v>
      </c>
      <c r="Y16" s="16">
        <v>164</v>
      </c>
      <c r="Z16" s="17">
        <f>IF(OR(M16="",M16=0),"",((13*S16+3*(T16+V16)-2*Y16)/M16+League!$Y$2))</f>
        <v>3.8178543066585213</v>
      </c>
      <c r="AA16" s="16">
        <f>VLOOKUP(B16,BPF!$A$2:$B$31,2,FALSE)</f>
        <v>104</v>
      </c>
      <c r="AB16" s="19">
        <f>IF(OR(E16="",E16=0),"",(E16/(League!$E$3*AA16/100)*100))</f>
        <v>84.519379844961264</v>
      </c>
      <c r="AC16" s="19">
        <f>IF(OR(Z16="",Z16=0),"",(Z16/(League!$Y$3*AA16/100)*100))</f>
        <v>92.567564718569201</v>
      </c>
      <c r="AD16" s="20">
        <f>IF(OR((C16+D16)="",(C16+D16)=0),"",(C16/(C16+D16)))</f>
        <v>0.5625</v>
      </c>
      <c r="AE16" s="17">
        <f>IF(OR(F16="",F16=0),"",(M16/F16))</f>
        <v>6.0606060606060606</v>
      </c>
      <c r="AF16" s="17">
        <f>IF(OR(AA16="",AA16=0,League!$Q$7="",League!$Q$7=0),"",(Z16*100/AA16*(League!$P$7/League!$Q$7)))</f>
        <v>3.9795623732799923</v>
      </c>
      <c r="AG16" s="34">
        <f>(1.19*AE16-0.056*AF16+1.71)*League!$AB$4</f>
        <v>8.7907006686758091</v>
      </c>
      <c r="AH16" s="17">
        <f>IF(OR(League!$Q$3="",League!$Q$3=0),"",(League!$Y$3*(League!$P$3/League!$Q$3)))</f>
        <v>4.277699473514514</v>
      </c>
      <c r="AI16" s="17">
        <f>IF(OR(League!$Q$4="",League!$Q$4=0,AA16="",AA16=0,F16="",F16=0,League!$G$3="",League!$G$3=0,League!$Q$5="",League!$Q$5=0),"",((Z16/(AA16/100)/9*(League!$P$4/League!$Q$4)*(M16/F16)+(League!$M$3/League!$G$3-M16/F16)*(League!$Y$5/9*League!$P$5/League!$Q$5))/(League!$M$3/League!$G$3)*9))</f>
        <v>3.986126759126261</v>
      </c>
      <c r="AJ16" s="17">
        <f>IF(AH16="","",((AH16+AI16)^0.287))</f>
        <v>1.8332892745375222</v>
      </c>
      <c r="AK16" s="21">
        <f>IF(AM16="","",(AM16*F16))</f>
        <v>17.566240928014569</v>
      </c>
      <c r="AL16" s="21">
        <f>IF(AK16="","",(F16-AK16))</f>
        <v>15.433759071985431</v>
      </c>
      <c r="AM16" s="20">
        <f>IF(AJ16="","",(AH16^AJ16/(AH16^AJ16+AI16^AJ16)))</f>
        <v>0.53231033115195658</v>
      </c>
      <c r="AN16" s="38">
        <f>IF(OR(AG16="",AG16=0),"",IF(((M16/AG16)&gt;=F16),AK16,IF(OR(AM16=1,(AK16-(F16-M16/AG16)*League!$AA$5)&gt;=AK16),AK16,IF(OR(AM16=0,(AK16-(F16-M16/AG16)*League!$AA$5)&lt;=0),0,(AK16-(F16-M16/AG16)*League!$AA$5)))))</f>
        <v>12.408141231975005</v>
      </c>
      <c r="AO16" s="38">
        <f>IF(OR(AG16="",AG16=0),"",IF((M16/AG16)&gt;=F16,AL16,(M16/AG16-AN16)))</f>
        <v>10.343173769873086</v>
      </c>
      <c r="AP16" s="20">
        <f>IF(OR(AN16="",(AN16+AO16)=0),"",(AN16/(AN16+AO16)))</f>
        <v>0.54538127712473283</v>
      </c>
      <c r="AQ16" s="22">
        <f>IF(AN16="","",((C16-AN16)+(AO16-D16)))</f>
        <v>-6.4967462101918727E-2</v>
      </c>
      <c r="AR16" s="14"/>
      <c r="AS16" s="14"/>
      <c r="AT16" s="13"/>
      <c r="AU16" s="14"/>
      <c r="AV16" s="14"/>
      <c r="AW16" s="13"/>
      <c r="AX16" s="14"/>
    </row>
    <row r="17" spans="1:50" x14ac:dyDescent="0.3">
      <c r="A17" s="15" t="s">
        <v>44</v>
      </c>
      <c r="B17" s="16" t="s">
        <v>41</v>
      </c>
      <c r="C17" s="16">
        <v>13</v>
      </c>
      <c r="D17" s="16">
        <v>9</v>
      </c>
      <c r="E17" s="17">
        <f>IF(OR(M17="",M17=0),"",(R17/M17*9))</f>
        <v>3.1486880466472309</v>
      </c>
      <c r="F17" s="16">
        <v>34</v>
      </c>
      <c r="G17" s="44">
        <v>34</v>
      </c>
      <c r="H17" s="16">
        <v>2</v>
      </c>
      <c r="I17" s="16">
        <v>0</v>
      </c>
      <c r="J17" s="16">
        <v>0</v>
      </c>
      <c r="K17" s="16">
        <v>0</v>
      </c>
      <c r="L17" s="16">
        <v>0</v>
      </c>
      <c r="M17" s="45">
        <f>IF(N17="","",(INT(N17)+(N17-INT(N17))*10/3))</f>
        <v>228.66666666666663</v>
      </c>
      <c r="N17" s="16">
        <v>228.2</v>
      </c>
      <c r="O17" s="43">
        <v>946</v>
      </c>
      <c r="P17" s="16">
        <v>215</v>
      </c>
      <c r="Q17" s="16">
        <v>82</v>
      </c>
      <c r="R17" s="16">
        <v>80</v>
      </c>
      <c r="S17" s="16">
        <v>20</v>
      </c>
      <c r="T17" s="16">
        <v>68</v>
      </c>
      <c r="U17" s="16">
        <v>0</v>
      </c>
      <c r="V17" s="16">
        <v>8</v>
      </c>
      <c r="W17" s="16">
        <v>11</v>
      </c>
      <c r="X17" s="43">
        <v>2</v>
      </c>
      <c r="Y17" s="16">
        <v>196</v>
      </c>
      <c r="Z17" s="17">
        <f>IF(OR(M17="",M17=0),"",((13*S17+3*(T17+V17)-2*Y17)/M17+League!$Y$2))</f>
        <v>3.4676793795448186</v>
      </c>
      <c r="AA17" s="16">
        <f>VLOOKUP(B17,BPF!$A$2:$B$31,2,FALSE)</f>
        <v>102</v>
      </c>
      <c r="AB17" s="19">
        <f>IF(OR(E17="",E17=0),"",(E17/(League!$E$3*AA17/100)*100))</f>
        <v>77.305783886090452</v>
      </c>
      <c r="AC17" s="19">
        <f>IF(OR(Z17="",Z17=0),"",(Z17/(League!$Y$3*AA17/100)*100))</f>
        <v>85.72580867663514</v>
      </c>
      <c r="AD17" s="20">
        <f>IF(OR((C17+D17)="",(C17+D17)=0),"",(C17/(C17+D17)))</f>
        <v>0.59090909090909094</v>
      </c>
      <c r="AE17" s="17">
        <f>IF(OR(F17="",F17=0),"",(M17/F17))</f>
        <v>6.7254901960784306</v>
      </c>
      <c r="AF17" s="17">
        <f>IF(OR(AA17="",AA17=0,League!$Q$7="",League!$Q$7=0),"",(Z17*100/AA17*(League!$P$7/League!$Q$7)))</f>
        <v>3.6854291637219796</v>
      </c>
      <c r="AG17" s="34">
        <f>(1.19*AE17-0.056*AF17+1.71)*League!$AB$4</f>
        <v>9.6068735301884391</v>
      </c>
      <c r="AH17" s="17">
        <f>IF(OR(League!$Q$3="",League!$Q$3=0),"",(League!$Y$3*(League!$P$3/League!$Q$3)))</f>
        <v>4.277699473514514</v>
      </c>
      <c r="AI17" s="17">
        <f>IF(OR(League!$Q$4="",League!$Q$4=0,AA17="",AA17=0,F17="",F17=0,League!$G$3="",League!$G$3=0,League!$Q$5="",League!$Q$5=0),"",((Z17/(AA17/100)/9*(League!$P$4/League!$Q$4)*(M17/F17)+(League!$M$3/League!$G$3-M17/F17)*(League!$Y$5/9*League!$P$5/League!$Q$5))/(League!$M$3/League!$G$3)*9))</f>
        <v>3.7594408135309147</v>
      </c>
      <c r="AJ17" s="17">
        <f>IF(AH17="","",((AH17+AI17)^0.287))</f>
        <v>1.8187128887594419</v>
      </c>
      <c r="AK17" s="21">
        <f>IF(AM17="","",(AM17*F17))</f>
        <v>18.987334303936414</v>
      </c>
      <c r="AL17" s="21">
        <f>IF(AK17="","",(F17-AK17))</f>
        <v>15.012665696063586</v>
      </c>
      <c r="AM17" s="20">
        <f>IF(AJ17="","",(AH17^AJ17/(AH17^AJ17+AI17^AJ17)))</f>
        <v>0.55845100893930633</v>
      </c>
      <c r="AN17" s="38">
        <f>IF(OR(AG17="",AG17=0),"",IF(((M17/AG17)&gt;=F17),AK17,IF(OR(AM17=1,(AK17-(F17-M17/AG17)*League!$AA$5)&gt;=AK17),AK17,IF(OR(AM17=0,(AK17-(F17-M17/AG17)*League!$AA$5)&lt;=0),0,(AK17-(F17-M17/AG17)*League!$AA$5)))))</f>
        <v>13.854946426856543</v>
      </c>
      <c r="AO17" s="38">
        <f>IF(OR(AG17="",AG17=0),"",IF((M17/AG17)&gt;=F17,AL17,(M17/AG17-AN17)))</f>
        <v>9.9474556707779556</v>
      </c>
      <c r="AP17" s="20">
        <f>IF(OR(AN17="",(AN17+AO17)=0),"",(AN17/(AN17+AO17)))</f>
        <v>0.58208185753796082</v>
      </c>
      <c r="AQ17" s="22">
        <f>IF(AN17="","",((C17-AN17)+(AO17-D17)))</f>
        <v>9.2509243921412576E-2</v>
      </c>
      <c r="AR17" s="14"/>
      <c r="AS17" s="14"/>
      <c r="AT17" s="13"/>
      <c r="AU17" s="14"/>
      <c r="AV17" s="14"/>
      <c r="AW17" s="13"/>
      <c r="AX17" s="14"/>
    </row>
    <row r="18" spans="1:50" x14ac:dyDescent="0.3">
      <c r="A18" s="15" t="s">
        <v>50</v>
      </c>
      <c r="B18" s="16" t="s">
        <v>28</v>
      </c>
      <c r="C18" s="16">
        <v>14</v>
      </c>
      <c r="D18" s="16">
        <v>9</v>
      </c>
      <c r="E18" s="17">
        <f>IF(OR(M18="",M18=0),"",(R18/M18*9))</f>
        <v>3.6837881219903696</v>
      </c>
      <c r="F18" s="16">
        <v>32</v>
      </c>
      <c r="G18" s="16">
        <v>32</v>
      </c>
      <c r="H18" s="16">
        <v>1</v>
      </c>
      <c r="I18" s="16">
        <v>0</v>
      </c>
      <c r="J18" s="16">
        <v>0</v>
      </c>
      <c r="K18" s="16">
        <v>0</v>
      </c>
      <c r="L18" s="16">
        <v>0</v>
      </c>
      <c r="M18" s="18">
        <f>IF(N18="","",(INT(N18)+(N18-INT(N18))*10/3))</f>
        <v>207.66666666666663</v>
      </c>
      <c r="N18" s="16">
        <v>207.2</v>
      </c>
      <c r="O18" s="16">
        <v>877</v>
      </c>
      <c r="P18" s="16">
        <v>228</v>
      </c>
      <c r="Q18" s="16">
        <v>91</v>
      </c>
      <c r="R18" s="16">
        <v>85</v>
      </c>
      <c r="S18" s="16">
        <v>14</v>
      </c>
      <c r="T18" s="16">
        <v>44</v>
      </c>
      <c r="U18" s="16">
        <v>2</v>
      </c>
      <c r="V18" s="16">
        <v>16</v>
      </c>
      <c r="W18" s="16">
        <v>7</v>
      </c>
      <c r="X18" s="16">
        <v>0</v>
      </c>
      <c r="Y18" s="16">
        <v>158</v>
      </c>
      <c r="Z18" s="17">
        <f>IF(OR(M18="",M18=0),"",((13*S18+3*(T18+V18)-2*Y18)/M18+League!$Y$2))</f>
        <v>3.2693631349089225</v>
      </c>
      <c r="AA18" s="16">
        <f>VLOOKUP(B18,BPF!$A$2:$B$31,2,FALSE)</f>
        <v>102</v>
      </c>
      <c r="AB18" s="19">
        <f>IF(OR(E18="",E18=0),"",(E18/(League!$E$3*AA18/100)*100))</f>
        <v>90.443424125159183</v>
      </c>
      <c r="AC18" s="19">
        <f>IF(OR(Z18="",Z18=0),"",(Z18/(League!$Y$3*AA18/100)*100))</f>
        <v>80.823158060949567</v>
      </c>
      <c r="AD18" s="20">
        <f>IF(OR((C18+D18)="",(C18+D18)=0),"",(C18/(C18+D18)))</f>
        <v>0.60869565217391308</v>
      </c>
      <c r="AE18" s="17">
        <f>IF(OR(F18="",F18=0),"",(M18/F18))</f>
        <v>6.4895833333333321</v>
      </c>
      <c r="AF18" s="17">
        <f>IF(OR(AA18="",AA18=0,League!$Q$7="",League!$Q$7=0),"",(Z18*100/AA18*(League!$P$7/League!$Q$7)))</f>
        <v>3.4746598302212299</v>
      </c>
      <c r="AG18" s="34">
        <f>(1.19*AE18-0.056*AF18+1.71)*League!$AB$4</f>
        <v>9.3351208578751503</v>
      </c>
      <c r="AH18" s="17">
        <f>IF(OR(League!$Q$3="",League!$Q$3=0),"",(League!$Y$3*(League!$P$3/League!$Q$3)))</f>
        <v>4.277699473514514</v>
      </c>
      <c r="AI18" s="17">
        <f>IF(OR(League!$Q$4="",League!$Q$4=0,AA18="",AA18=0,F18="",F18=0,League!$G$3="",League!$G$3=0,League!$Q$5="",League!$Q$5=0),"",((Z18/(AA18/100)/9*(League!$P$4/League!$Q$4)*(M18/F18)+(League!$M$3/League!$G$3-M18/F18)*(League!$Y$5/9*League!$P$5/League!$Q$5))/(League!$M$3/League!$G$3)*9))</f>
        <v>3.6182539196538728</v>
      </c>
      <c r="AJ18" s="17">
        <f>IF(AH18="","",((AH18+AI18)^0.287))</f>
        <v>1.809485525220228</v>
      </c>
      <c r="AK18" s="21">
        <f>IF(AM18="","",(AM18*F18))</f>
        <v>18.405239577849272</v>
      </c>
      <c r="AL18" s="21">
        <f>IF(AK18="","",(F18-AK18))</f>
        <v>13.594760422150728</v>
      </c>
      <c r="AM18" s="20">
        <f>IF(AJ18="","",(AH18^AJ18/(AH18^AJ18+AI18^AJ18)))</f>
        <v>0.57516373680778976</v>
      </c>
      <c r="AN18" s="38">
        <f>IF(OR(AG18="",AG18=0),"",IF(((M18/AG18)&gt;=F18),AK18,IF(OR(AM18=1,(AK18-(F18-M18/AG18)*League!$AA$5)&gt;=AK18),AK18,IF(OR(AM18=0,(AK18-(F18-M18/AG18)*League!$AA$5)&lt;=0),0,(AK18-(F18-M18/AG18)*League!$AA$5)))))</f>
        <v>13.49598066260122</v>
      </c>
      <c r="AO18" s="38">
        <f>IF(OR(AG18="",AG18=0),"",IF((M18/AG18)&gt;=F18,AL18,(M18/AG18-AN18)))</f>
        <v>8.7497588225472853</v>
      </c>
      <c r="AP18" s="20">
        <f>IF(OR(AN18="",(AN18+AO18)=0),"",(AN18/(AN18+AO18)))</f>
        <v>0.60667709750045762</v>
      </c>
      <c r="AQ18" s="22">
        <f>IF(AN18="","",((C18-AN18)+(AO18-D18)))</f>
        <v>0.25377815994606578</v>
      </c>
      <c r="AR18" s="14"/>
      <c r="AS18" s="14"/>
      <c r="AT18" s="13"/>
      <c r="AU18" s="14"/>
      <c r="AV18" s="14"/>
      <c r="AW18" s="13"/>
      <c r="AX18" s="14"/>
    </row>
    <row r="19" spans="1:50" x14ac:dyDescent="0.3">
      <c r="A19" s="15" t="s">
        <v>71</v>
      </c>
      <c r="B19" s="16" t="s">
        <v>26</v>
      </c>
      <c r="C19" s="16">
        <v>14</v>
      </c>
      <c r="D19" s="16">
        <v>13</v>
      </c>
      <c r="E19" s="17">
        <f>IF(OR(M19="",M19=0),"",(R19/M19*9))</f>
        <v>4.7772511848341237</v>
      </c>
      <c r="F19" s="16">
        <v>32</v>
      </c>
      <c r="G19" s="16">
        <v>32</v>
      </c>
      <c r="H19" s="16">
        <v>2</v>
      </c>
      <c r="I19" s="16">
        <v>0</v>
      </c>
      <c r="J19" s="16">
        <v>0</v>
      </c>
      <c r="K19" s="16">
        <v>0</v>
      </c>
      <c r="L19" s="16">
        <v>0</v>
      </c>
      <c r="M19" s="18">
        <f>IF(N19="","",(INT(N19)+(N19-INT(N19))*10/3))</f>
        <v>211</v>
      </c>
      <c r="N19" s="16">
        <v>211</v>
      </c>
      <c r="O19" s="16">
        <v>908</v>
      </c>
      <c r="P19" s="16">
        <v>224</v>
      </c>
      <c r="Q19" s="44">
        <v>122</v>
      </c>
      <c r="R19" s="44">
        <v>112</v>
      </c>
      <c r="S19" s="16">
        <v>28</v>
      </c>
      <c r="T19" s="16">
        <v>65</v>
      </c>
      <c r="U19" s="16">
        <v>5</v>
      </c>
      <c r="V19" s="16">
        <v>4</v>
      </c>
      <c r="W19" s="16">
        <v>7</v>
      </c>
      <c r="X19" s="16">
        <v>1</v>
      </c>
      <c r="Y19" s="16">
        <v>175</v>
      </c>
      <c r="Z19" s="17">
        <f>IF(OR(M19="",M19=0),"",((13*S19+3*(T19+V19)-2*Y19)/M19+League!$Y$2))</f>
        <v>4.0952476715874315</v>
      </c>
      <c r="AA19" s="16">
        <f>VLOOKUP(B19,BPF!$A$2:$B$31,2,FALSE)</f>
        <v>103</v>
      </c>
      <c r="AB19" s="19">
        <f>IF(OR(E19="",E19=0),"",(E19/(League!$E$3*AA19/100)*100))</f>
        <v>116.15111327027296</v>
      </c>
      <c r="AC19" s="19">
        <f>IF(OR(Z19="",Z19=0),"",(Z19/(League!$Y$3*AA19/100)*100))</f>
        <v>100.25724672884466</v>
      </c>
      <c r="AD19" s="20">
        <f>IF(OR((C19+D19)="",(C19+D19)=0),"",(C19/(C19+D19)))</f>
        <v>0.51851851851851849</v>
      </c>
      <c r="AE19" s="17">
        <f>IF(OR(F19="",F19=0),"",(M19/F19))</f>
        <v>6.59375</v>
      </c>
      <c r="AF19" s="17">
        <f>IF(OR(AA19="",AA19=0,League!$Q$7="",League!$Q$7=0),"",(Z19*100/AA19*(League!$P$7/League!$Q$7)))</f>
        <v>4.3101486783601519</v>
      </c>
      <c r="AG19" s="34">
        <f>(1.19*AE19-0.056*AF19+1.71)*League!$AB$4</f>
        <v>9.4131029327491618</v>
      </c>
      <c r="AH19" s="17">
        <f>IF(OR(League!$Q$3="",League!$Q$3=0),"",(League!$Y$3*(League!$P$3/League!$Q$3)))</f>
        <v>4.277699473514514</v>
      </c>
      <c r="AI19" s="17">
        <f>IF(OR(League!$Q$4="",League!$Q$4=0,AA19="",AA19=0,F19="",F19=0,League!$G$3="",League!$G$3=0,League!$Q$5="",League!$Q$5=0),"",((Z19/(AA19/100)/9*(League!$P$4/League!$Q$4)*(M19/F19)+(League!$M$3/League!$G$3-M19/F19)*(League!$Y$5/9*League!$P$5/League!$Q$5))/(League!$M$3/League!$G$3)*9))</f>
        <v>4.2216033419838279</v>
      </c>
      <c r="AJ19" s="17">
        <f>IF(AH19="","",((AH19+AI19)^0.287))</f>
        <v>1.8481320896127915</v>
      </c>
      <c r="AK19" s="21">
        <f>IF(AM19="","",(AM19*F19))</f>
        <v>16.195158453424209</v>
      </c>
      <c r="AL19" s="21">
        <f>IF(AK19="","",(F19-AK19))</f>
        <v>15.804841546575791</v>
      </c>
      <c r="AM19" s="20">
        <f>IF(AJ19="","",(AH19^AJ19/(AH19^AJ19+AI19^AJ19)))</f>
        <v>0.50609870166950655</v>
      </c>
      <c r="AN19" s="38">
        <f>IF(OR(AG19="",AG19=0),"",IF(((M19/AG19)&gt;=F19),AK19,IF(OR(AM19=1,(AK19-(F19-M19/AG19)*League!$AA$5)&gt;=AK19),AK19,IF(OR(AM19=0,(AK19-(F19-M19/AG19)*League!$AA$5)&lt;=0),0,(AK19-(F19-M19/AG19)*League!$AA$5)))))</f>
        <v>11.371370564575058</v>
      </c>
      <c r="AO19" s="38">
        <f>IF(OR(AG19="",AG19=0),"",IF((M19/AG19)&gt;=F19,AL19,(M19/AG19-AN19)))</f>
        <v>11.04419224265922</v>
      </c>
      <c r="AP19" s="20">
        <f>IF(OR(AN19="",(AN19+AO19)=0),"",(AN19/(AN19+AO19)))</f>
        <v>0.50729801711269651</v>
      </c>
      <c r="AQ19" s="22">
        <f>IF(AN19="","",((C19-AN19)+(AO19-D19)))</f>
        <v>0.67282167808416204</v>
      </c>
      <c r="AR19" s="14"/>
      <c r="AS19" s="14"/>
      <c r="AT19" s="13"/>
      <c r="AU19" s="14"/>
      <c r="AV19" s="14"/>
      <c r="AW19" s="13"/>
      <c r="AX19" s="14"/>
    </row>
    <row r="20" spans="1:50" x14ac:dyDescent="0.3">
      <c r="A20" s="15" t="s">
        <v>69</v>
      </c>
      <c r="B20" s="16" t="s">
        <v>43</v>
      </c>
      <c r="C20" s="16">
        <v>8</v>
      </c>
      <c r="D20" s="16">
        <v>9</v>
      </c>
      <c r="E20" s="17">
        <f>IF(OR(M20="",M20=0),"",(R20/M20*9))</f>
        <v>4.642292490118578</v>
      </c>
      <c r="F20" s="16">
        <v>29</v>
      </c>
      <c r="G20" s="16">
        <v>29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8">
        <f>IF(N20="","",(INT(N20)+(N20-INT(N20))*10/3))</f>
        <v>168.66666666666663</v>
      </c>
      <c r="N20" s="16">
        <v>168.2</v>
      </c>
      <c r="O20" s="16">
        <v>743</v>
      </c>
      <c r="P20" s="16">
        <v>167</v>
      </c>
      <c r="Q20" s="16">
        <v>97</v>
      </c>
      <c r="R20" s="16">
        <v>87</v>
      </c>
      <c r="S20" s="16">
        <v>26</v>
      </c>
      <c r="T20" s="16">
        <v>78</v>
      </c>
      <c r="U20" s="16">
        <v>1</v>
      </c>
      <c r="V20" s="16">
        <v>6</v>
      </c>
      <c r="W20" s="16">
        <v>9</v>
      </c>
      <c r="X20" s="16">
        <v>1</v>
      </c>
      <c r="Y20" s="16">
        <v>156</v>
      </c>
      <c r="Z20" s="17">
        <f>IF(OR(M20="",M20=0),"",((13*S20+3*(T20+V20)-2*Y20)/M20+League!$Y$2))</f>
        <v>4.6960756505320393</v>
      </c>
      <c r="AA20" s="16">
        <f>VLOOKUP(B20,BPF!$A$2:$B$31,2,FALSE)</f>
        <v>104</v>
      </c>
      <c r="AB20" s="19">
        <f>IF(OR(E20="",E20=0),"",(E20/(League!$E$3*AA20/100)*100))</f>
        <v>111.7845248785593</v>
      </c>
      <c r="AC20" s="19">
        <f>IF(OR(Z20="",Z20=0),"",(Z20/(League!$Y$3*AA20/100)*100))</f>
        <v>113.86088933403673</v>
      </c>
      <c r="AD20" s="20">
        <f>IF(OR((C20+D20)="",(C20+D20)=0),"",(C20/(C20+D20)))</f>
        <v>0.47058823529411764</v>
      </c>
      <c r="AE20" s="17">
        <f>IF(OR(F20="",F20=0),"",(M20/F20))</f>
        <v>5.816091954022987</v>
      </c>
      <c r="AF20" s="17">
        <f>IF(OR(AA20="",AA20=0,League!$Q$7="",League!$Q$7=0),"",(Z20*100/AA20*(League!$P$7/League!$Q$7)))</f>
        <v>4.8949814371754128</v>
      </c>
      <c r="AG20" s="34">
        <f>(1.19*AE20-0.056*AF20+1.71)*League!$AB$4</f>
        <v>8.4448682988060195</v>
      </c>
      <c r="AH20" s="17">
        <f>IF(OR(League!$Q$3="",League!$Q$3=0),"",(League!$Y$3*(League!$P$3/League!$Q$3)))</f>
        <v>4.277699473514514</v>
      </c>
      <c r="AI20" s="17">
        <f>IF(OR(League!$Q$4="",League!$Q$4=0,AA20="",AA20=0,F20="",F20=0,League!$G$3="",League!$G$3=0,League!$Q$5="",League!$Q$5=0),"",((Z20/(AA20/100)/9*(League!$P$4/League!$Q$4)*(M20/F20)+(League!$M$3/League!$G$3-M20/F20)*(League!$Y$5/9*League!$P$5/League!$Q$5))/(League!$M$3/League!$G$3)*9))</f>
        <v>4.5787666820099231</v>
      </c>
      <c r="AJ20" s="17">
        <f>IF(AH20="","",((AH20+AI20)^0.287))</f>
        <v>1.8700953662785023</v>
      </c>
      <c r="AK20" s="21">
        <f>IF(AM20="","",(AM20*F20))</f>
        <v>13.57909005222341</v>
      </c>
      <c r="AL20" s="21">
        <f>IF(AK20="","",(F20-AK20))</f>
        <v>15.42090994777659</v>
      </c>
      <c r="AM20" s="20">
        <f>IF(AJ20="","",(AH20^AJ20/(AH20^AJ20+AI20^AJ20)))</f>
        <v>0.46824448455942796</v>
      </c>
      <c r="AN20" s="38">
        <f>IF(OR(AG20="",AG20=0),"",IF(((M20/AG20)&gt;=F20),AK20,IF(OR(AM20=1,(AK20-(F20-M20/AG20)*League!$AA$5)&gt;=AK20),AK20,IF(OR(AM20=0,(AK20-(F20-M20/AG20)*League!$AA$5)&lt;=0),0,(AK20-(F20-M20/AG20)*League!$AA$5)))))</f>
        <v>9.0356966603402142</v>
      </c>
      <c r="AO20" s="38">
        <f>IF(OR(AG20="",AG20=0),"",IF((M20/AG20)&gt;=F20,AL20,(M20/AG20-AN20)))</f>
        <v>10.936985055787154</v>
      </c>
      <c r="AP20" s="20">
        <f>IF(OR(AN20="",(AN20+AO20)=0),"",(AN20/(AN20+AO20)))</f>
        <v>0.45240277639052084</v>
      </c>
      <c r="AQ20" s="22">
        <f>IF(AN20="","",((C20-AN20)+(AO20-D20)))</f>
        <v>0.90128839544694017</v>
      </c>
      <c r="AR20" s="14"/>
      <c r="AS20" s="14"/>
      <c r="AT20" s="13"/>
      <c r="AU20" s="14"/>
      <c r="AV20" s="14"/>
      <c r="AW20" s="13"/>
      <c r="AX20" s="14"/>
    </row>
    <row r="21" spans="1:50" x14ac:dyDescent="0.3">
      <c r="A21" s="15" t="s">
        <v>49</v>
      </c>
      <c r="B21" s="16" t="s">
        <v>47</v>
      </c>
      <c r="C21" s="16">
        <v>14</v>
      </c>
      <c r="D21" s="16">
        <v>10</v>
      </c>
      <c r="E21" s="17">
        <f>IF(OR(M21="",M21=0),"",(R21/M21*9))</f>
        <v>3.517605633802817</v>
      </c>
      <c r="F21" s="16">
        <v>29</v>
      </c>
      <c r="G21" s="16">
        <v>29</v>
      </c>
      <c r="H21" s="16">
        <v>3</v>
      </c>
      <c r="I21" s="44">
        <v>3</v>
      </c>
      <c r="J21" s="16">
        <v>0</v>
      </c>
      <c r="K21" s="16">
        <v>0</v>
      </c>
      <c r="L21" s="16">
        <v>0</v>
      </c>
      <c r="M21" s="18">
        <f>IF(N21="","",(INT(N21)+(N21-INT(N21))*10/3))</f>
        <v>189.33333333333331</v>
      </c>
      <c r="N21" s="16">
        <v>189.1</v>
      </c>
      <c r="O21" s="16">
        <v>789</v>
      </c>
      <c r="P21" s="16">
        <v>155</v>
      </c>
      <c r="Q21" s="16">
        <v>75</v>
      </c>
      <c r="R21" s="16">
        <v>74</v>
      </c>
      <c r="S21" s="16">
        <v>13</v>
      </c>
      <c r="T21" s="16">
        <v>75</v>
      </c>
      <c r="U21" s="16">
        <v>0</v>
      </c>
      <c r="V21" s="43">
        <v>16</v>
      </c>
      <c r="W21" s="16">
        <v>8</v>
      </c>
      <c r="X21" s="16">
        <v>0</v>
      </c>
      <c r="Y21" s="16">
        <v>188</v>
      </c>
      <c r="Z21" s="17">
        <f>IF(OR(M21="",M21=0),"",((13*S21+3*(T21+V21)-2*Y21)/M21+League!$Y$2))</f>
        <v>3.3964458559542958</v>
      </c>
      <c r="AA21" s="23">
        <f>VLOOKUP(B21,BPF!$A$2:$B$31,2,FALSE)</f>
        <v>96</v>
      </c>
      <c r="AB21" s="19">
        <f>IF(OR(E21="",E21=0),"",(E21/(League!$E$3*AA21/100)*100))</f>
        <v>91.761063798813552</v>
      </c>
      <c r="AC21" s="19">
        <f>IF(OR(Z21="",Z21=0),"",(Z21/(League!$Y$3*AA21/100)*100))</f>
        <v>89.212619015386494</v>
      </c>
      <c r="AD21" s="20">
        <f>IF(OR((C21+D21)="",(C21+D21)=0),"",(C21/(C21+D21)))</f>
        <v>0.58333333333333337</v>
      </c>
      <c r="AE21" s="17">
        <f>IF(OR(F21="",F21=0),"",(M21/F21))</f>
        <v>6.5287356321839072</v>
      </c>
      <c r="AF21" s="17">
        <f>IF(OR(AA21="",AA21=0,League!$Q$7="",League!$Q$7=0),"",(Z21*100/AA21*(League!$P$7/League!$Q$7)))</f>
        <v>3.8353302577935948</v>
      </c>
      <c r="AG21" s="34">
        <f>(1.19*AE21-0.056*AF21+1.71)*League!$AB$4</f>
        <v>9.3617919644559198</v>
      </c>
      <c r="AH21" s="17">
        <f>IF(OR(League!$Q$3="",League!$Q$3=0),"",(League!$Y$3*(League!$P$3/League!$Q$3)))</f>
        <v>4.277699473514514</v>
      </c>
      <c r="AI21" s="17">
        <f>IF(OR(League!$Q$4="",League!$Q$4=0,AA21="",AA21=0,F21="",F21=0,League!$G$3="",League!$G$3=0,League!$Q$5="",League!$Q$5=0),"",((Z21/(AA21/100)/9*(League!$P$4/League!$Q$4)*(M21/F21)+(League!$M$3/League!$G$3-M21/F21)*(League!$Y$5/9*League!$P$5/League!$Q$5))/(League!$M$3/League!$G$3)*9))</f>
        <v>3.8765056796664279</v>
      </c>
      <c r="AJ21" s="17">
        <f>IF(AH21="","",((AH21+AI21)^0.287))</f>
        <v>1.8262764920613572</v>
      </c>
      <c r="AK21" s="21">
        <f>IF(AM21="","",(AM21*F21))</f>
        <v>15.800437303032787</v>
      </c>
      <c r="AL21" s="21">
        <f>IF(AK21="","",(F21-AK21))</f>
        <v>13.199562696967213</v>
      </c>
      <c r="AM21" s="20">
        <f>IF(AJ21="","",(AH21^AJ21/(AH21^AJ21+AI21^AJ21)))</f>
        <v>0.54484266562182027</v>
      </c>
      <c r="AN21" s="38">
        <f>IF(OR(AG21="",AG21=0),"",IF(((M21/AG21)&gt;=F21),AK21,IF(OR(AM21=1,(AK21-(F21-M21/AG21)*League!$AA$5)&gt;=AK21),AK21,IF(OR(AM21=0,(AK21-(F21-M21/AG21)*League!$AA$5)&lt;=0),0,(AK21-(F21-M21/AG21)*League!$AA$5)))))</f>
        <v>11.383555181507948</v>
      </c>
      <c r="AO21" s="38">
        <f>IF(OR(AG21="",AG21=0),"",IF((M21/AG21)&gt;=F21,AL21,(M21/AG21-AN21)))</f>
        <v>8.8404931686560495</v>
      </c>
      <c r="AP21" s="20">
        <f>IF(OR(AN21="",(AN21+AO21)=0),"",(AN21/(AN21+AO21)))</f>
        <v>0.5628722293583539</v>
      </c>
      <c r="AQ21" s="22">
        <f>IF(AN21="","",((C21-AN21)+(AO21-D21)))</f>
        <v>1.4569379871481019</v>
      </c>
      <c r="AR21" s="14"/>
      <c r="AS21" s="14"/>
      <c r="AT21" s="13"/>
      <c r="AU21" s="14"/>
      <c r="AV21" s="14"/>
      <c r="AW21" s="13"/>
      <c r="AX21" s="14"/>
    </row>
    <row r="22" spans="1:50" x14ac:dyDescent="0.3">
      <c r="A22" s="15" t="s">
        <v>60</v>
      </c>
      <c r="B22" s="16" t="s">
        <v>47</v>
      </c>
      <c r="C22" s="16">
        <v>13</v>
      </c>
      <c r="D22" s="16">
        <v>9</v>
      </c>
      <c r="E22" s="17">
        <f>IF(OR(M22="",M22=0),"",(R22/M22*9))</f>
        <v>3.3010948905109494</v>
      </c>
      <c r="F22" s="16">
        <v>32</v>
      </c>
      <c r="G22" s="16">
        <v>32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8">
        <f>IF(N22="","",(INT(N22)+(N22-INT(N22))*10/3))</f>
        <v>182.66666666666663</v>
      </c>
      <c r="N22" s="16">
        <v>182.2</v>
      </c>
      <c r="O22" s="16">
        <v>777</v>
      </c>
      <c r="P22" s="16">
        <v>163</v>
      </c>
      <c r="Q22" s="16">
        <v>75</v>
      </c>
      <c r="R22" s="16">
        <v>67</v>
      </c>
      <c r="S22" s="16">
        <v>16</v>
      </c>
      <c r="T22" s="16">
        <v>80</v>
      </c>
      <c r="U22" s="16">
        <v>0</v>
      </c>
      <c r="V22" s="16">
        <v>3</v>
      </c>
      <c r="W22" s="16">
        <v>8</v>
      </c>
      <c r="X22" s="16">
        <v>0</v>
      </c>
      <c r="Y22" s="16">
        <v>194</v>
      </c>
      <c r="Z22" s="17">
        <f>IF(OR(M22="",M22=0),"",((13*S22+3*(T22+V22)-2*Y22)/M22+League!$Y$2))</f>
        <v>3.4255915329358935</v>
      </c>
      <c r="AA22" s="16">
        <f>VLOOKUP(B22,BPF!$A$2:$B$31,2,FALSE)</f>
        <v>96</v>
      </c>
      <c r="AB22" s="19">
        <f>IF(OR(E22="",E22=0),"",(E22/(League!$E$3*AA22/100)*100))</f>
        <v>86.113115109677679</v>
      </c>
      <c r="AC22" s="19">
        <f>IF(OR(Z22="",Z22=0),"",(Z22/(League!$Y$3*AA22/100)*100))</f>
        <v>89.978172858073677</v>
      </c>
      <c r="AD22" s="20">
        <f>IF(OR((C22+D22)="",(C22+D22)=0),"",(C22/(C22+D22)))</f>
        <v>0.59090909090909094</v>
      </c>
      <c r="AE22" s="17">
        <f>IF(OR(F22="",F22=0),"",(M22/F22))</f>
        <v>5.7083333333333321</v>
      </c>
      <c r="AF22" s="17">
        <f>IF(OR(AA22="",AA22=0,League!$Q$7="",League!$Q$7=0),"",(Z22*100/AA22*(League!$P$7/League!$Q$7)))</f>
        <v>3.8682421019837308</v>
      </c>
      <c r="AG22" s="34">
        <f>(1.19*AE22-0.056*AF22+1.71)*League!$AB$4</f>
        <v>8.3733894682886838</v>
      </c>
      <c r="AH22" s="17">
        <f>IF(OR(League!$Q$3="",League!$Q$3=0),"",(League!$Y$3*(League!$P$3/League!$Q$3)))</f>
        <v>4.277699473514514</v>
      </c>
      <c r="AI22" s="17">
        <f>IF(OR(League!$Q$4="",League!$Q$4=0,AA22="",AA22=0,F22="",F22=0,League!$G$3="",League!$G$3=0,League!$Q$5="",League!$Q$5=0),"",((Z22/(AA22/100)/9*(League!$P$4/League!$Q$4)*(M22/F22)+(League!$M$3/League!$G$3-M22/F22)*(League!$Y$5/9*League!$P$5/League!$Q$5))/(League!$M$3/League!$G$3)*9))</f>
        <v>3.9197068293869766</v>
      </c>
      <c r="AJ22" s="17">
        <f>IF(AH22="","",((AH22+AI22)^0.287))</f>
        <v>1.8290481748636613</v>
      </c>
      <c r="AK22" s="21">
        <f>IF(AM22="","",(AM22*F22))</f>
        <v>17.276132118937841</v>
      </c>
      <c r="AL22" s="21">
        <f>IF(AK22="","",(F22-AK22))</f>
        <v>14.723867881062159</v>
      </c>
      <c r="AM22" s="20">
        <f>IF(AJ22="","",(AH22^AJ22/(AH22^AJ22+AI22^AJ22)))</f>
        <v>0.53987912871680754</v>
      </c>
      <c r="AN22" s="38">
        <f>IF(OR(AG22="",AG22=0),"",IF(((M22/AG22)&gt;=F22),AK22,IF(OR(AM22=1,(AK22-(F22-M22/AG22)*League!$AA$5)&gt;=AK22),AK22,IF(OR(AM22=0,(AK22-(F22-M22/AG22)*League!$AA$5)&lt;=0),0,(AK22-(F22-M22/AG22)*League!$AA$5)))))</f>
        <v>12.15015533806034</v>
      </c>
      <c r="AO22" s="38">
        <f>IF(OR(AG22="",AG22=0),"",IF((M22/AG22)&gt;=F22,AL22,(M22/AG22-AN22)))</f>
        <v>9.6649850371071402</v>
      </c>
      <c r="AP22" s="20">
        <f>IF(OR(AN22="",(AN22+AO22)=0),"",(AN22/(AN22+AO22)))</f>
        <v>0.55695975955722266</v>
      </c>
      <c r="AQ22" s="22">
        <f>IF(AN22="","",((C22-AN22)+(AO22-D22)))</f>
        <v>1.5148296990467998</v>
      </c>
      <c r="AR22" s="14"/>
      <c r="AS22" s="14"/>
      <c r="AT22" s="13"/>
      <c r="AU22" s="14"/>
      <c r="AV22" s="14"/>
      <c r="AW22" s="13"/>
      <c r="AX22" s="14"/>
    </row>
    <row r="23" spans="1:50" x14ac:dyDescent="0.3">
      <c r="A23" s="15" t="s">
        <v>63</v>
      </c>
      <c r="B23" s="16" t="s">
        <v>64</v>
      </c>
      <c r="C23" s="16">
        <v>12</v>
      </c>
      <c r="D23" s="16">
        <v>10</v>
      </c>
      <c r="E23" s="17">
        <f>IF(OR(M23="",M23=0),"",(R23/M23*9))</f>
        <v>4.1538461538461542</v>
      </c>
      <c r="F23" s="16">
        <v>33</v>
      </c>
      <c r="G23" s="16">
        <v>33</v>
      </c>
      <c r="H23" s="16">
        <v>1</v>
      </c>
      <c r="I23" s="16">
        <v>1</v>
      </c>
      <c r="J23" s="16">
        <v>0</v>
      </c>
      <c r="K23" s="16">
        <v>0</v>
      </c>
      <c r="L23" s="16">
        <v>0</v>
      </c>
      <c r="M23" s="18">
        <f>IF(N23="","",(INT(N23)+(N23-INT(N23))*10/3))</f>
        <v>203.66666666666663</v>
      </c>
      <c r="N23" s="16">
        <v>203.2</v>
      </c>
      <c r="O23" s="16">
        <v>876</v>
      </c>
      <c r="P23" s="16">
        <v>223</v>
      </c>
      <c r="Q23" s="16">
        <v>100</v>
      </c>
      <c r="R23" s="16">
        <v>94</v>
      </c>
      <c r="S23" s="16">
        <v>24</v>
      </c>
      <c r="T23" s="16">
        <v>51</v>
      </c>
      <c r="U23" s="16">
        <v>3</v>
      </c>
      <c r="V23" s="16">
        <v>9</v>
      </c>
      <c r="W23" s="16">
        <v>2</v>
      </c>
      <c r="X23" s="16">
        <v>0</v>
      </c>
      <c r="Y23" s="16">
        <v>139</v>
      </c>
      <c r="Z23" s="17">
        <f>IF(OR(M23="",M23=0),"",((13*S23+3*(T23+V23)-2*Y23)/M23+League!$Y$2))</f>
        <v>4.0985908042035302</v>
      </c>
      <c r="AA23" s="16">
        <f>VLOOKUP(B23,BPF!$A$2:$B$31,2,FALSE)</f>
        <v>102</v>
      </c>
      <c r="AB23" s="19">
        <f>IF(OR(E23="",E23=0),"",(E23/(League!$E$3*AA23/100)*100))</f>
        <v>101.98416874203471</v>
      </c>
      <c r="AC23" s="19">
        <f>IF(OR(Z23="",Z23=0),"",(Z23/(League!$Y$3*AA23/100)*100))</f>
        <v>101.322807753665</v>
      </c>
      <c r="AD23" s="20">
        <f>IF(OR((C23+D23)="",(C23+D23)=0),"",(C23/(C23+D23)))</f>
        <v>0.54545454545454541</v>
      </c>
      <c r="AE23" s="17">
        <f>IF(OR(F23="",F23=0),"",(M23/F23))</f>
        <v>6.1717171717171704</v>
      </c>
      <c r="AF23" s="17">
        <f>IF(OR(AA23="",AA23=0,League!$Q$7="",League!$Q$7=0),"",(Z23*100/AA23*(League!$P$7/League!$Q$7)))</f>
        <v>4.3559580995510494</v>
      </c>
      <c r="AG23" s="34">
        <f>(1.19*AE23-0.056*AF23+1.71)*League!$AB$4</f>
        <v>8.9030129267136005</v>
      </c>
      <c r="AH23" s="17">
        <f>IF(OR(League!$Q$3="",League!$Q$3=0),"",(League!$Y$3*(League!$P$3/League!$Q$3)))</f>
        <v>4.277699473514514</v>
      </c>
      <c r="AI23" s="17">
        <f>IF(OR(League!$Q$4="",League!$Q$4=0,AA23="",AA23=0,F23="",F23=0,League!$G$3="",League!$G$3=0,League!$Q$5="",League!$Q$5=0),"",((Z23/(AA23/100)/9*(League!$P$4/League!$Q$4)*(M23/F23)+(League!$M$3/League!$G$3-M23/F23)*(League!$Y$5/9*League!$P$5/League!$Q$5))/(League!$M$3/League!$G$3)*9))</f>
        <v>4.2422413530275405</v>
      </c>
      <c r="AJ23" s="17">
        <f>IF(AH23="","",((AH23+AI23)^0.287))</f>
        <v>1.8494189275384871</v>
      </c>
      <c r="AK23" s="21">
        <f>IF(AM23="","",(AM23*F23))</f>
        <v>16.626996662122846</v>
      </c>
      <c r="AL23" s="21">
        <f>IF(AK23="","",(F23-AK23))</f>
        <v>16.373003337877154</v>
      </c>
      <c r="AM23" s="20">
        <f>IF(AJ23="","",(AH23^AJ23/(AH23^AJ23+AI23^AJ23)))</f>
        <v>0.50384838370069229</v>
      </c>
      <c r="AN23" s="38">
        <f>IF(OR(AG23="",AG23=0),"",IF(((M23/AG23)&gt;=F23),AK23,IF(OR(AM23=1,(AK23-(F23-M23/AG23)*League!$AA$5)&gt;=AK23),AK23,IF(OR(AM23=0,(AK23-(F23-M23/AG23)*League!$AA$5)&lt;=0),0,(AK23-(F23-M23/AG23)*League!$AA$5)))))</f>
        <v>11.531726071792999</v>
      </c>
      <c r="AO23" s="38">
        <f>IF(OR(AG23="",AG23=0),"",IF((M23/AG23)&gt;=F23,AL23,(M23/AG23-AN23)))</f>
        <v>11.344424770980943</v>
      </c>
      <c r="AP23" s="20">
        <f>IF(OR(AN23="",(AN23+AO23)=0),"",(AN23/(AN23+AO23)))</f>
        <v>0.50409381154415711</v>
      </c>
      <c r="AQ23" s="22">
        <f>IF(AN23="","",((C23-AN23)+(AO23-D23)))</f>
        <v>1.8126986991879441</v>
      </c>
      <c r="AR23" s="14"/>
      <c r="AS23" s="14"/>
      <c r="AT23" s="13"/>
      <c r="AU23" s="14"/>
      <c r="AV23" s="14"/>
      <c r="AW23" s="13"/>
      <c r="AX23" s="14"/>
    </row>
    <row r="24" spans="1:50" x14ac:dyDescent="0.3">
      <c r="A24" s="15" t="s">
        <v>61</v>
      </c>
      <c r="B24" s="16" t="s">
        <v>28</v>
      </c>
      <c r="C24" s="16">
        <v>13</v>
      </c>
      <c r="D24" s="16">
        <v>8</v>
      </c>
      <c r="E24" s="17">
        <f>IF(OR(M24="",M24=0),"",(R24/M24*9))</f>
        <v>4.430501930501932</v>
      </c>
      <c r="F24" s="16">
        <v>29</v>
      </c>
      <c r="G24" s="16">
        <v>29</v>
      </c>
      <c r="H24" s="16">
        <v>1</v>
      </c>
      <c r="I24" s="16">
        <v>0</v>
      </c>
      <c r="J24" s="16">
        <v>0</v>
      </c>
      <c r="K24" s="16">
        <v>0</v>
      </c>
      <c r="L24" s="16">
        <v>0</v>
      </c>
      <c r="M24" s="18">
        <f>IF(N24="","",(INT(N24)+(N24-INT(N24))*10/3))</f>
        <v>172.66666666666663</v>
      </c>
      <c r="N24" s="16">
        <v>172.2</v>
      </c>
      <c r="O24" s="16">
        <v>722</v>
      </c>
      <c r="P24" s="16">
        <v>183</v>
      </c>
      <c r="Q24" s="16">
        <v>87</v>
      </c>
      <c r="R24" s="16">
        <v>85</v>
      </c>
      <c r="S24" s="16">
        <v>18</v>
      </c>
      <c r="T24" s="16">
        <v>42</v>
      </c>
      <c r="U24" s="16">
        <v>4</v>
      </c>
      <c r="V24" s="16">
        <v>3</v>
      </c>
      <c r="W24" s="16">
        <v>6</v>
      </c>
      <c r="X24" s="16">
        <v>1</v>
      </c>
      <c r="Y24" s="16">
        <v>139</v>
      </c>
      <c r="Z24" s="17">
        <f>IF(OR(M24="",M24=0),"",((13*S24+3*(T24+V24)-2*Y24)/M24+League!$Y$2))</f>
        <v>3.5748813336855485</v>
      </c>
      <c r="AA24" s="16">
        <f>VLOOKUP(B24,BPF!$A$2:$B$31,2,FALSE)</f>
        <v>102</v>
      </c>
      <c r="AB24" s="19">
        <f>IF(OR(E24="",E24=0),"",(E24/(League!$E$3*AA24/100)*100))</f>
        <v>108.77655063701582</v>
      </c>
      <c r="AC24" s="19">
        <f>IF(OR(Z24="",Z24=0),"",(Z24/(League!$Y$3*AA24/100)*100))</f>
        <v>88.375988582147613</v>
      </c>
      <c r="AD24" s="20">
        <f>IF(OR((C24+D24)="",(C24+D24)=0),"",(C24/(C24+D24)))</f>
        <v>0.61904761904761907</v>
      </c>
      <c r="AE24" s="17">
        <f>IF(OR(F24="",F24=0),"",(M24/F24))</f>
        <v>5.9540229885057459</v>
      </c>
      <c r="AF24" s="17">
        <f>IF(OR(AA24="",AA24=0,League!$Q$7="",League!$Q$7=0),"",(Z24*100/AA24*(League!$P$7/League!$Q$7)))</f>
        <v>3.7993627674250106</v>
      </c>
      <c r="AG24" s="34">
        <f>(1.19*AE24-0.056*AF24+1.71)*League!$AB$4</f>
        <v>8.6727309492130633</v>
      </c>
      <c r="AH24" s="17">
        <f>IF(OR(League!$Q$3="",League!$Q$3=0),"",(League!$Y$3*(League!$P$3/League!$Q$3)))</f>
        <v>4.277699473514514</v>
      </c>
      <c r="AI24" s="17">
        <f>IF(OR(League!$Q$4="",League!$Q$4=0,AA24="",AA24=0,F24="",F24=0,League!$G$3="",League!$G$3=0,League!$Q$5="",League!$Q$5=0),"",((Z24/(AA24/100)/9*(League!$P$4/League!$Q$4)*(M24/F24)+(League!$M$3/League!$G$3-M24/F24)*(League!$Y$5/9*League!$P$5/League!$Q$5))/(League!$M$3/League!$G$3)*9))</f>
        <v>3.8684616762643373</v>
      </c>
      <c r="AJ24" s="17">
        <f>IF(AH24="","",((AH24+AI24)^0.287))</f>
        <v>1.8257592523862591</v>
      </c>
      <c r="AK24" s="21">
        <f>IF(AM24="","",(AM24*F24))</f>
        <v>15.827340935569945</v>
      </c>
      <c r="AL24" s="21">
        <f>IF(AK24="","",(F24-AK24))</f>
        <v>13.172659064430055</v>
      </c>
      <c r="AM24" s="20">
        <f>IF(AJ24="","",(AH24^AJ24/(AH24^AJ24+AI24^AJ24)))</f>
        <v>0.54577037708861875</v>
      </c>
      <c r="AN24" s="38">
        <f>IF(OR(AG24="",AG24=0),"",IF(((M24/AG24)&gt;=F24),AK24,IF(OR(AM24=1,(AK24-(F24-M24/AG24)*League!$AA$5)&gt;=AK24),AK24,IF(OR(AM24=0,(AK24-(F24-M24/AG24)*League!$AA$5)&lt;=0),0,(AK24-(F24-M24/AG24)*League!$AA$5)))))</f>
        <v>11.251970410038915</v>
      </c>
      <c r="AO24" s="38">
        <f>IF(OR(AG24="",AG24=0),"",IF((M24/AG24)&gt;=F24,AL24,(M24/AG24-AN24)))</f>
        <v>8.6571755876625218</v>
      </c>
      <c r="AP24" s="20">
        <f>IF(OR(AN24="",(AN24+AO24)=0),"",(AN24/(AN24+AO24)))</f>
        <v>0.56516589969946396</v>
      </c>
      <c r="AQ24" s="22">
        <f>IF(AN24="","",((C24-AN24)+(AO24-D24)))</f>
        <v>2.405205177623607</v>
      </c>
      <c r="AR24" s="14"/>
      <c r="AS24" s="14"/>
      <c r="AT24" s="13"/>
      <c r="AU24" s="14"/>
      <c r="AV24" s="14"/>
      <c r="AW24" s="13"/>
      <c r="AX24" s="14"/>
    </row>
    <row r="25" spans="1:50" x14ac:dyDescent="0.3">
      <c r="A25" s="15" t="s">
        <v>72</v>
      </c>
      <c r="B25" s="16" t="s">
        <v>39</v>
      </c>
      <c r="C25" s="16">
        <v>11</v>
      </c>
      <c r="D25" s="16">
        <v>10</v>
      </c>
      <c r="E25" s="17">
        <f>IF(OR(M25="",M25=0),"",(R25/M25*9))</f>
        <v>5.2427184466019421</v>
      </c>
      <c r="F25" s="16">
        <v>31</v>
      </c>
      <c r="G25" s="16">
        <v>31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8">
        <f>IF(N25="","",(INT(N25)+(N25-INT(N25))*10/3))</f>
        <v>171.66666666666663</v>
      </c>
      <c r="N25" s="16">
        <v>171.2</v>
      </c>
      <c r="O25" s="16">
        <v>729</v>
      </c>
      <c r="P25" s="16">
        <v>184</v>
      </c>
      <c r="Q25" s="16">
        <v>103</v>
      </c>
      <c r="R25" s="16">
        <v>100</v>
      </c>
      <c r="S25" s="16">
        <v>24</v>
      </c>
      <c r="T25" s="16">
        <v>50</v>
      </c>
      <c r="U25" s="16">
        <v>0</v>
      </c>
      <c r="V25" s="16">
        <v>4</v>
      </c>
      <c r="W25" s="16">
        <v>7</v>
      </c>
      <c r="X25" s="43">
        <v>2</v>
      </c>
      <c r="Y25" s="16">
        <v>133</v>
      </c>
      <c r="Z25" s="17">
        <f>IF(OR(M25="",M25=0),"",((13*S25+3*(T25+V25)-2*Y25)/M25+League!$Y$2))</f>
        <v>4.2595047920954148</v>
      </c>
      <c r="AA25" s="16">
        <f>VLOOKUP(B25,BPF!$A$2:$B$31,2,FALSE)</f>
        <v>95</v>
      </c>
      <c r="AB25" s="19">
        <f>IF(OR(E25="",E25=0),"",(E25/(League!$E$3*AA25/100)*100))</f>
        <v>138.20235845880228</v>
      </c>
      <c r="AC25" s="19">
        <f>IF(OR(Z25="",Z25=0),"",(Z25/(League!$Y$3*AA25/100)*100))</f>
        <v>113.05983110285165</v>
      </c>
      <c r="AD25" s="20">
        <f>IF(OR((C25+D25)="",(C25+D25)=0),"",(C25/(C25+D25)))</f>
        <v>0.52380952380952384</v>
      </c>
      <c r="AE25" s="17">
        <f>IF(OR(F25="",F25=0),"",(M25/F25))</f>
        <v>5.5376344086021492</v>
      </c>
      <c r="AF25" s="17">
        <f>IF(OR(AA25="",AA25=0,League!$Q$7="",League!$Q$7=0),"",(Z25*100/AA25*(League!$P$7/League!$Q$7)))</f>
        <v>4.860543227578753</v>
      </c>
      <c r="AG25" s="34">
        <f>(1.19*AE25-0.056*AF25+1.71)*League!$AB$4</f>
        <v>8.1119697731740796</v>
      </c>
      <c r="AH25" s="17">
        <f>IF(OR(League!$Q$3="",League!$Q$3=0),"",(League!$Y$3*(League!$P$3/League!$Q$3)))</f>
        <v>4.277699473514514</v>
      </c>
      <c r="AI25" s="17">
        <f>IF(OR(League!$Q$4="",League!$Q$4=0,AA25="",AA25=0,F25="",F25=0,League!$G$3="",League!$G$3=0,League!$Q$5="",League!$Q$5=0),"",((Z25/(AA25/100)/9*(League!$P$4/League!$Q$4)*(M25/F25)+(League!$M$3/League!$G$3-M25/F25)*(League!$Y$5/9*League!$P$5/League!$Q$5))/(League!$M$3/League!$G$3)*9))</f>
        <v>4.5325450556946425</v>
      </c>
      <c r="AJ25" s="17">
        <f>IF(AH25="","",((AH25+AI25)^0.287))</f>
        <v>1.8672890274901814</v>
      </c>
      <c r="AK25" s="21">
        <f>IF(AM25="","",(AM25*F25))</f>
        <v>14.663374165813286</v>
      </c>
      <c r="AL25" s="21">
        <f>IF(AK25="","",(F25-AK25))</f>
        <v>16.336625834186712</v>
      </c>
      <c r="AM25" s="20">
        <f>IF(AJ25="","",(AH25^AJ25/(AH25^AJ25+AI25^AJ25)))</f>
        <v>0.47301206986494471</v>
      </c>
      <c r="AN25" s="38">
        <f>IF(OR(AG25="",AG25=0),"",IF(((M25/AG25)&gt;=F25),AK25,IF(OR(AM25=1,(AK25-(F25-M25/AG25)*League!$AA$5)&gt;=AK25),AK25,IF(OR(AM25=0,(AK25-(F25-M25/AG25)*League!$AA$5)&lt;=0),0,(AK25-(F25-M25/AG25)*League!$AA$5)))))</f>
        <v>9.7120418008846627</v>
      </c>
      <c r="AO25" s="38">
        <f>IF(OR(AG25="",AG25=0),"",IF((M25/AG25)&gt;=F25,AL25,(M25/AG25-AN25)))</f>
        <v>11.450101484505847</v>
      </c>
      <c r="AP25" s="20">
        <f>IF(OR(AN25="",(AN25+AO25)=0),"",(AN25/(AN25+AO25)))</f>
        <v>0.45893469625968675</v>
      </c>
      <c r="AQ25" s="22">
        <f>IF(AN25="","",((C25-AN25)+(AO25-D25)))</f>
        <v>2.7380596836211843</v>
      </c>
      <c r="AR25" s="14"/>
      <c r="AS25" s="14"/>
      <c r="AT25" s="13"/>
      <c r="AU25" s="14"/>
      <c r="AV25" s="14"/>
      <c r="AW25" s="13"/>
      <c r="AX25" s="14"/>
    </row>
    <row r="26" spans="1:50" x14ac:dyDescent="0.3">
      <c r="A26" s="15" t="s">
        <v>65</v>
      </c>
      <c r="B26" s="16" t="s">
        <v>64</v>
      </c>
      <c r="C26" s="16">
        <v>14</v>
      </c>
      <c r="D26" s="16">
        <v>13</v>
      </c>
      <c r="E26" s="17">
        <f>IF(OR(M26="",M26=0),"",(R26/M26*9))</f>
        <v>4.2062314540059358</v>
      </c>
      <c r="F26" s="16">
        <v>34</v>
      </c>
      <c r="G26" s="44">
        <v>34</v>
      </c>
      <c r="H26" s="16">
        <v>3</v>
      </c>
      <c r="I26" s="16">
        <v>1</v>
      </c>
      <c r="J26" s="16">
        <v>0</v>
      </c>
      <c r="K26" s="16">
        <v>0</v>
      </c>
      <c r="L26" s="16">
        <v>0</v>
      </c>
      <c r="M26" s="18">
        <f>IF(N26="","",(INT(N26)+(N26-INT(N26))*10/3))</f>
        <v>224.66666666666663</v>
      </c>
      <c r="N26" s="16">
        <v>224.2</v>
      </c>
      <c r="O26" s="16">
        <v>943</v>
      </c>
      <c r="P26" s="16">
        <v>207</v>
      </c>
      <c r="Q26" s="16">
        <v>113</v>
      </c>
      <c r="R26" s="16">
        <v>105</v>
      </c>
      <c r="S26" s="16">
        <v>35</v>
      </c>
      <c r="T26" s="16">
        <v>71</v>
      </c>
      <c r="U26" s="16">
        <v>0</v>
      </c>
      <c r="V26" s="16">
        <v>10</v>
      </c>
      <c r="W26" s="16">
        <v>7</v>
      </c>
      <c r="X26" s="16">
        <v>1</v>
      </c>
      <c r="Y26" s="16">
        <v>177</v>
      </c>
      <c r="Z26" s="17">
        <f>IF(OR(M26="",M26=0),"",((13*S26+3*(T26+V26)-2*Y26)/M26+League!$Y$2))</f>
        <v>4.5790115766881954</v>
      </c>
      <c r="AA26" s="16">
        <f>VLOOKUP(B26,BPF!$A$2:$B$31,2,FALSE)</f>
        <v>102</v>
      </c>
      <c r="AB26" s="19">
        <f>IF(OR(E26="",E26=0),"",(E26/(League!$E$3*AA26/100)*100))</f>
        <v>103.27031923803962</v>
      </c>
      <c r="AC26" s="19">
        <f>IF(OR(Z26="",Z26=0),"",(Z26/(League!$Y$3*AA26/100)*100))</f>
        <v>113.19947070850476</v>
      </c>
      <c r="AD26" s="20">
        <f>IF(OR((C26+D26)="",(C26+D26)=0),"",(C26/(C26+D26)))</f>
        <v>0.51851851851851849</v>
      </c>
      <c r="AE26" s="17">
        <f>IF(OR(F26="",F26=0),"",(M26/F26))</f>
        <v>6.6078431372549007</v>
      </c>
      <c r="AF26" s="17">
        <f>IF(OR(AA26="",AA26=0,League!$Q$7="",League!$Q$7=0),"",(Z26*100/AA26*(League!$P$7/League!$Q$7)))</f>
        <v>4.8665464590796175</v>
      </c>
      <c r="AG26" s="34">
        <f>(1.19*AE26-0.056*AF26+1.71)*League!$AB$4</f>
        <v>9.3985642689706594</v>
      </c>
      <c r="AH26" s="17">
        <f>IF(OR(League!$Q$3="",League!$Q$3=0),"",(League!$Y$3*(League!$P$3/League!$Q$3)))</f>
        <v>4.277699473514514</v>
      </c>
      <c r="AI26" s="17">
        <f>IF(OR(League!$Q$4="",League!$Q$4=0,AA26="",AA26=0,F26="",F26=0,League!$G$3="",League!$G$3=0,League!$Q$5="",League!$Q$5=0),"",((Z26/(AA26/100)/9*(League!$P$4/League!$Q$4)*(M26/F26)+(League!$M$3/League!$G$3-M26/F26)*(League!$Y$5/9*League!$P$5/League!$Q$5))/(League!$M$3/League!$G$3)*9))</f>
        <v>4.6292972689351544</v>
      </c>
      <c r="AJ26" s="17">
        <f>IF(AH26="","",((AH26+AI26)^0.287))</f>
        <v>1.8731513999797671</v>
      </c>
      <c r="AK26" s="21">
        <f>IF(AM26="","",(AM26*F26))</f>
        <v>15.744631894701767</v>
      </c>
      <c r="AL26" s="49">
        <f>IF(AK26="","",(F26-AK26))</f>
        <v>18.255368105298231</v>
      </c>
      <c r="AM26" s="20">
        <f>IF(AJ26="","",(AH26^AJ26/(AH26^AJ26+AI26^AJ26)))</f>
        <v>0.46307740866769903</v>
      </c>
      <c r="AN26" s="38">
        <f>IF(OR(AG26="",AG26=0),"",IF(((M26/AG26)&gt;=F26),AK26,IF(OR(AM26=1,(AK26-(F26-M26/AG26)*League!$AA$5)&gt;=AK26),AK26,IF(OR(AM26=0,(AK26-(F26-M26/AG26)*League!$AA$5)&lt;=0),0,(AK26-(F26-M26/AG26)*League!$AA$5)))))</f>
        <v>10.66355895371365</v>
      </c>
      <c r="AO26" s="38">
        <f>IF(OR(AG26="",AG26=0),"",IF((M26/AG26)&gt;=F26,AL26,(M26/AG26-AN26)))</f>
        <v>13.240801354637185</v>
      </c>
      <c r="AP26" s="20">
        <f>IF(OR(AN26="",(AN26+AO26)=0),"",(AN26/(AN26+AO26)))</f>
        <v>0.44609262980312442</v>
      </c>
      <c r="AQ26" s="22">
        <f>IF(AN26="","",((C26-AN26)+(AO26-D26)))</f>
        <v>3.5772424009235344</v>
      </c>
      <c r="AR26" s="14"/>
      <c r="AS26" s="14"/>
      <c r="AT26" s="13"/>
      <c r="AU26" s="14"/>
      <c r="AV26" s="14"/>
      <c r="AW26" s="13"/>
      <c r="AX26" s="14"/>
    </row>
    <row r="27" spans="1:50" x14ac:dyDescent="0.3">
      <c r="A27" s="15" t="s">
        <v>62</v>
      </c>
      <c r="B27" s="16" t="s">
        <v>43</v>
      </c>
      <c r="C27" s="16">
        <v>15</v>
      </c>
      <c r="D27" s="16">
        <v>8</v>
      </c>
      <c r="E27" s="17">
        <f>IF(OR(M27="",M27=0),"",(R27/M27*9))</f>
        <v>3.7546875000000002</v>
      </c>
      <c r="F27" s="16">
        <v>33</v>
      </c>
      <c r="G27" s="16">
        <v>33</v>
      </c>
      <c r="H27" s="16">
        <v>1</v>
      </c>
      <c r="I27" s="16">
        <v>1</v>
      </c>
      <c r="J27" s="16">
        <v>0</v>
      </c>
      <c r="K27" s="16">
        <v>0</v>
      </c>
      <c r="L27" s="16">
        <v>0</v>
      </c>
      <c r="M27" s="18">
        <f>IF(N27="","",(INT(N27)+(N27-INT(N27))*10/3))</f>
        <v>213.33333333333331</v>
      </c>
      <c r="N27" s="16">
        <v>213.1</v>
      </c>
      <c r="O27" s="16">
        <v>903</v>
      </c>
      <c r="P27" s="16">
        <v>209</v>
      </c>
      <c r="Q27" s="16">
        <v>94</v>
      </c>
      <c r="R27" s="16">
        <v>89</v>
      </c>
      <c r="S27" s="16">
        <v>19</v>
      </c>
      <c r="T27" s="16">
        <v>67</v>
      </c>
      <c r="U27" s="16">
        <v>0</v>
      </c>
      <c r="V27" s="16">
        <v>7</v>
      </c>
      <c r="W27" s="16">
        <v>5</v>
      </c>
      <c r="X27" s="16">
        <v>0</v>
      </c>
      <c r="Y27" s="16">
        <v>177</v>
      </c>
      <c r="Z27" s="17">
        <f>IF(OR(M27="",M27=0),"",((13*S27+3*(T27+V27)-2*Y27)/M27+League!$Y$2))</f>
        <v>3.5869168066585213</v>
      </c>
      <c r="AA27" s="16">
        <f>VLOOKUP(B27,BPF!$A$2:$B$31,2,FALSE)</f>
        <v>104</v>
      </c>
      <c r="AB27" s="19">
        <f>IF(OR(E27="",E27=0),"",(E27/(League!$E$3*AA27/100)*100))</f>
        <v>90.411355843768661</v>
      </c>
      <c r="AC27" s="19">
        <f>IF(OR(Z27="",Z27=0),"",(Z27/(League!$Y$3*AA27/100)*100))</f>
        <v>86.968262005547501</v>
      </c>
      <c r="AD27" s="20">
        <f>IF(OR((C27+D27)="",(C27+D27)=0),"",(C27/(C27+D27)))</f>
        <v>0.65217391304347827</v>
      </c>
      <c r="AE27" s="17">
        <f>IF(OR(F27="",F27=0),"",(M27/F27))</f>
        <v>6.4646464646464636</v>
      </c>
      <c r="AF27" s="17">
        <f>IF(OR(AA27="",AA27=0,League!$Q$7="",League!$Q$7=0),"",(Z27*100/AA27*(League!$P$7/League!$Q$7)))</f>
        <v>3.7388433432278201</v>
      </c>
      <c r="AG27" s="34">
        <f>(1.19*AE27-0.056*AF27+1.71)*League!$AB$4</f>
        <v>9.2901843076705628</v>
      </c>
      <c r="AH27" s="17">
        <f>IF(OR(League!$Q$3="",League!$Q$3=0),"",(League!$Y$3*(League!$P$3/League!$Q$3)))</f>
        <v>4.277699473514514</v>
      </c>
      <c r="AI27" s="17">
        <f>IF(OR(League!$Q$4="",League!$Q$4=0,AA27="",AA27=0,F27="",F27=0,League!$G$3="",League!$G$3=0,League!$Q$5="",League!$Q$5=0),"",((Z27/(AA27/100)/9*(League!$P$4/League!$Q$4)*(M27/F27)+(League!$M$3/League!$G$3-M27/F27)*(League!$Y$5/9*League!$P$5/League!$Q$5))/(League!$M$3/League!$G$3)*9))</f>
        <v>3.8091474878940579</v>
      </c>
      <c r="AJ27" s="17">
        <f>IF(AH27="","",((AH27+AI27)^0.287))</f>
        <v>1.8219339870498767</v>
      </c>
      <c r="AK27" s="21">
        <f>IF(AM27="","",(AM27*F27))</f>
        <v>18.237277604195128</v>
      </c>
      <c r="AL27" s="21">
        <f>IF(AK27="","",(F27-AK27))</f>
        <v>14.762722395804872</v>
      </c>
      <c r="AM27" s="20">
        <f>IF(AJ27="","",(AH27^AJ27/(AH27^AJ27+AI27^AJ27)))</f>
        <v>0.55264477588470085</v>
      </c>
      <c r="AN27" s="38">
        <f>IF(OR(AG27="",AG27=0),"",IF(((M27/AG27)&gt;=F27),AK27,IF(OR(AM27=1,(AK27-(F27-M27/AG27)*League!$AA$5)&gt;=AK27),AK27,IF(OR(AM27=0,(AK27-(F27-M27/AG27)*League!$AA$5)&lt;=0),0,(AK27-(F27-M27/AG27)*League!$AA$5)))))</f>
        <v>13.185871029866988</v>
      </c>
      <c r="AO27" s="38">
        <f>IF(OR(AG27="",AG27=0),"",IF((M27/AG27)&gt;=F27,AL27,(M27/AG27-AN27)))</f>
        <v>9.7774337085752663</v>
      </c>
      <c r="AP27" s="20">
        <f>IF(OR(AN27="",(AN27+AO27)=0),"",(AN27/(AN27+AO27)))</f>
        <v>0.57421486933424148</v>
      </c>
      <c r="AQ27" s="22">
        <f>IF(AN27="","",((C27-AN27)+(AO27-D27)))</f>
        <v>3.5915626787082786</v>
      </c>
      <c r="AR27" s="14"/>
      <c r="AS27" s="14"/>
      <c r="AT27" s="13"/>
      <c r="AU27" s="14"/>
      <c r="AV27" s="14"/>
      <c r="AW27" s="13"/>
      <c r="AX27" s="14"/>
    </row>
    <row r="28" spans="1:50" x14ac:dyDescent="0.3">
      <c r="A28" s="15" t="s">
        <v>57</v>
      </c>
      <c r="B28" s="16" t="s">
        <v>53</v>
      </c>
      <c r="C28" s="16">
        <v>11</v>
      </c>
      <c r="D28" s="16">
        <v>8</v>
      </c>
      <c r="E28" s="17">
        <f>IF(OR(M28="",M28=0),"",(R28/M28*9))</f>
        <v>3.8117647058823527</v>
      </c>
      <c r="F28" s="16">
        <v>28</v>
      </c>
      <c r="G28" s="16">
        <v>28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8">
        <f>IF(N28="","",(INT(N28)+(N28-INT(N28))*10/3))</f>
        <v>170</v>
      </c>
      <c r="N28" s="16">
        <v>170</v>
      </c>
      <c r="O28" s="16">
        <v>707</v>
      </c>
      <c r="P28" s="16">
        <v>156</v>
      </c>
      <c r="Q28" s="16">
        <v>81</v>
      </c>
      <c r="R28" s="16">
        <v>72</v>
      </c>
      <c r="S28" s="16">
        <v>24</v>
      </c>
      <c r="T28" s="16">
        <v>53</v>
      </c>
      <c r="U28" s="16">
        <v>3</v>
      </c>
      <c r="V28" s="16">
        <v>3</v>
      </c>
      <c r="W28" s="16">
        <v>4</v>
      </c>
      <c r="X28" s="16">
        <v>0</v>
      </c>
      <c r="Y28" s="16">
        <v>120</v>
      </c>
      <c r="Z28" s="17">
        <f>IF(OR(M28="",M28=0),"",((13*S28+3*(T28+V28)-2*Y28)/M28+League!$Y$2))</f>
        <v>4.4596190125408741</v>
      </c>
      <c r="AA28" s="16">
        <f>VLOOKUP(B28,BPF!$A$2:$B$31,2,FALSE)</f>
        <v>103</v>
      </c>
      <c r="AB28" s="19">
        <f>IF(OR(E28="",E28=0),"",(E28/(League!$E$3*AA28/100)*100))</f>
        <v>92.676875672373257</v>
      </c>
      <c r="AC28" s="19">
        <f>IF(OR(Z28="",Z28=0),"",(Z28/(League!$Y$3*AA28/100)*100))</f>
        <v>109.17755396309036</v>
      </c>
      <c r="AD28" s="20">
        <f>IF(OR((C28+D28)="",(C28+D28)=0),"",(C28/(C28+D28)))</f>
        <v>0.57894736842105265</v>
      </c>
      <c r="AE28" s="17">
        <f>IF(OR(F28="",F28=0),"",(M28/F28))</f>
        <v>6.0714285714285712</v>
      </c>
      <c r="AF28" s="17">
        <f>IF(OR(AA28="",AA28=0,League!$Q$7="",League!$Q$7=0),"",(Z28*100/AA28*(League!$P$7/League!$Q$7)))</f>
        <v>4.693640662139007</v>
      </c>
      <c r="AG28" s="34">
        <f>(1.19*AE28-0.056*AF28+1.71)*League!$AB$4</f>
        <v>8.7633061328620681</v>
      </c>
      <c r="AH28" s="17">
        <f>IF(OR(League!$Q$3="",League!$Q$3=0),"",(League!$Y$3*(League!$P$3/League!$Q$3)))</f>
        <v>4.277699473514514</v>
      </c>
      <c r="AI28" s="17">
        <f>IF(OR(League!$Q$4="",League!$Q$4=0,AA28="",AA28=0,F28="",F28=0,League!$G$3="",League!$G$3=0,League!$Q$5="",League!$Q$5=0),"",((Z28/(AA28/100)/9*(League!$P$4/League!$Q$4)*(M28/F28)+(League!$M$3/League!$G$3-M28/F28)*(League!$Y$5/9*League!$P$5/League!$Q$5))/(League!$M$3/League!$G$3)*9))</f>
        <v>4.4663408696028482</v>
      </c>
      <c r="AJ28" s="17">
        <f>IF(AH28="","",((AH28+AI28)^0.287))</f>
        <v>1.8632511065480428</v>
      </c>
      <c r="AK28" s="21">
        <f>IF(AM28="","",(AM28*F28))</f>
        <v>13.437454356932101</v>
      </c>
      <c r="AL28" s="21">
        <f>IF(AK28="","",(F28-AK28))</f>
        <v>14.562545643067899</v>
      </c>
      <c r="AM28" s="20">
        <f>IF(AJ28="","",(AH28^AJ28/(AH28^AJ28+AI28^AJ28)))</f>
        <v>0.47990908417614647</v>
      </c>
      <c r="AN28" s="38">
        <f>IF(OR(AG28="",AG28=0),"",IF(((M28/AG28)&gt;=F28),AK28,IF(OR(AM28=1,(AK28-(F28-M28/AG28)*League!$AA$5)&gt;=AK28),AK28,IF(OR(AM28=0,(AK28-(F28-M28/AG28)*League!$AA$5)&lt;=0),0,(AK28-(F28-M28/AG28)*League!$AA$5)))))</f>
        <v>9.1086601738192687</v>
      </c>
      <c r="AO28" s="38">
        <f>IF(OR(AG28="",AG28=0),"",IF((M28/AG28)&gt;=F28,AL28,(M28/AG28-AN28)))</f>
        <v>10.290411069681676</v>
      </c>
      <c r="AP28" s="20">
        <f>IF(OR(AN28="",(AN28+AO28)=0),"",(AN28/(AN28+AO28)))</f>
        <v>0.46954104449051093</v>
      </c>
      <c r="AQ28" s="22">
        <f>IF(AN28="","",((C28-AN28)+(AO28-D28)))</f>
        <v>4.1817508958624074</v>
      </c>
      <c r="AR28" s="14"/>
      <c r="AS28" s="14"/>
      <c r="AT28" s="13"/>
      <c r="AU28" s="14"/>
      <c r="AV28" s="14"/>
      <c r="AW28" s="13"/>
      <c r="AX28" s="14"/>
    </row>
    <row r="29" spans="1:50" x14ac:dyDescent="0.3">
      <c r="A29" s="15" t="s">
        <v>36</v>
      </c>
      <c r="B29" s="16" t="s">
        <v>24</v>
      </c>
      <c r="C29" s="16">
        <v>14</v>
      </c>
      <c r="D29" s="16">
        <v>6</v>
      </c>
      <c r="E29" s="17">
        <f>IF(OR(M29="",M29=0),"",(R29/M29*9))</f>
        <v>2.6631259484066772</v>
      </c>
      <c r="F29" s="16">
        <v>33</v>
      </c>
      <c r="G29" s="16">
        <v>33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8">
        <f>IF(N29="","",(INT(N29)+(N29-INT(N29))*10/3))</f>
        <v>219.66666666666663</v>
      </c>
      <c r="N29" s="16">
        <v>219.2</v>
      </c>
      <c r="O29" s="16">
        <v>866</v>
      </c>
      <c r="P29" s="16">
        <v>179</v>
      </c>
      <c r="Q29" s="16">
        <v>69</v>
      </c>
      <c r="R29" s="16">
        <v>65</v>
      </c>
      <c r="S29" s="16">
        <v>25</v>
      </c>
      <c r="T29" s="16">
        <v>42</v>
      </c>
      <c r="U29" s="16">
        <v>4</v>
      </c>
      <c r="V29" s="16">
        <v>2</v>
      </c>
      <c r="W29" s="16">
        <v>10</v>
      </c>
      <c r="X29" s="16">
        <v>0</v>
      </c>
      <c r="Y29" s="16">
        <v>185</v>
      </c>
      <c r="Z29" s="17">
        <f>IF(OR(M29="",M29=0),"",((13*S29+3*(T29+V29)-2*Y29)/M29+League!$Y$2))</f>
        <v>3.4439089348831042</v>
      </c>
      <c r="AA29" s="16">
        <f>VLOOKUP(B29,BPF!$A$2:$B$31,2,FALSE)</f>
        <v>100</v>
      </c>
      <c r="AB29" s="19">
        <f>IF(OR(E29="",E29=0),"",(E29/(League!$E$3*AA29/100)*100))</f>
        <v>66.692075143216783</v>
      </c>
      <c r="AC29" s="19">
        <f>IF(OR(Z29="",Z29=0),"",(Z29/(League!$Y$3*AA29/100)*100))</f>
        <v>86.840933967806023</v>
      </c>
      <c r="AD29" s="20">
        <f>IF(OR((C29+D29)="",(C29+D29)=0),"",(C29/(C29+D29)))</f>
        <v>0.7</v>
      </c>
      <c r="AE29" s="17">
        <f>IF(OR(F29="",F29=0),"",(M29/F29))</f>
        <v>6.6565656565656557</v>
      </c>
      <c r="AF29" s="17">
        <f>IF(OR(AA29="",AA29=0,League!$Q$7="",League!$Q$7=0),"",(Z29*100/AA29*(League!$P$7/League!$Q$7)))</f>
        <v>3.7333693970394317</v>
      </c>
      <c r="AG29" s="34">
        <f>(1.19*AE29-0.056*AF29+1.71)*League!$AB$4</f>
        <v>9.5212783718982994</v>
      </c>
      <c r="AH29" s="17">
        <f>IF(OR(League!$Q$3="",League!$Q$3=0),"",(League!$Y$3*(League!$P$3/League!$Q$3)))</f>
        <v>4.277699473514514</v>
      </c>
      <c r="AI29" s="17">
        <f>IF(OR(League!$Q$4="",League!$Q$4=0,AA29="",AA29=0,F29="",F29=0,League!$G$3="",League!$G$3=0,League!$Q$5="",League!$Q$5=0),"",((Z29/(AA29/100)/9*(League!$P$4/League!$Q$4)*(M29/F29)+(League!$M$3/League!$G$3-M29/F29)*(League!$Y$5/9*League!$P$5/League!$Q$5))/(League!$M$3/League!$G$3)*9))</f>
        <v>3.79782193868092</v>
      </c>
      <c r="AJ29" s="17">
        <f>IF(AH29="","",((AH29+AI29)^0.287))</f>
        <v>1.8212013117801127</v>
      </c>
      <c r="AK29" s="21">
        <f>IF(AM29="","",(AM29*F29))</f>
        <v>18.28081519926101</v>
      </c>
      <c r="AL29" s="21">
        <f>IF(AK29="","",(F29-AK29))</f>
        <v>14.71918480073899</v>
      </c>
      <c r="AM29" s="20">
        <f>IF(AJ29="","",(AH29^AJ29/(AH29^AJ29+AI29^AJ29)))</f>
        <v>0.55396409694730331</v>
      </c>
      <c r="AN29" s="38">
        <f>IF(OR(AG29="",AG29=0),"",IF(((M29/AG29)&gt;=F29),AK29,IF(OR(AM29=1,(AK29-(F29-M29/AG29)*League!$AA$5)&gt;=AK29),AK29,IF(OR(AM29=0,(AK29-(F29-M29/AG29)*League!$AA$5)&lt;=0),0,(AK29-(F29-M29/AG29)*League!$AA$5)))))</f>
        <v>13.283677235066971</v>
      </c>
      <c r="AO29" s="38">
        <f>IF(OR(AG29="",AG29=0),"",IF((M29/AG29)&gt;=F29,AL29,(M29/AG29-AN29)))</f>
        <v>9.7874544015213125</v>
      </c>
      <c r="AP29" s="20">
        <f>IF(OR(AN29="",(AN29+AO29)=0),"",(AN29/(AN29+AO29)))</f>
        <v>0.57577051027703019</v>
      </c>
      <c r="AQ29" s="22">
        <f>IF(AN29="","",((C29-AN29)+(AO29-D29)))</f>
        <v>4.5037771664543413</v>
      </c>
      <c r="AR29" s="14"/>
      <c r="AS29" s="14"/>
      <c r="AT29" s="13"/>
      <c r="AU29" s="14"/>
      <c r="AV29" s="14"/>
      <c r="AW29" s="13"/>
      <c r="AX29" s="14"/>
    </row>
    <row r="30" spans="1:50" x14ac:dyDescent="0.3">
      <c r="A30" s="15" t="s">
        <v>58</v>
      </c>
      <c r="B30" s="16" t="s">
        <v>34</v>
      </c>
      <c r="C30" s="16">
        <v>12</v>
      </c>
      <c r="D30" s="16">
        <v>8</v>
      </c>
      <c r="E30" s="17">
        <f>IF(OR(M30="",M30=0),"",(R30/M30*9))</f>
        <v>3.9746192893401013</v>
      </c>
      <c r="F30" s="16">
        <v>32</v>
      </c>
      <c r="G30" s="16">
        <v>32</v>
      </c>
      <c r="H30" s="16">
        <v>1</v>
      </c>
      <c r="I30" s="16">
        <v>0</v>
      </c>
      <c r="J30" s="16">
        <v>0</v>
      </c>
      <c r="K30" s="16">
        <v>0</v>
      </c>
      <c r="L30" s="16">
        <v>0</v>
      </c>
      <c r="M30" s="18">
        <f>IF(N30="","",(INT(N30)+(N30-INT(N30))*10/3))</f>
        <v>197</v>
      </c>
      <c r="N30" s="16">
        <v>197</v>
      </c>
      <c r="O30" s="16">
        <v>818</v>
      </c>
      <c r="P30" s="16">
        <v>178</v>
      </c>
      <c r="Q30" s="16">
        <v>92</v>
      </c>
      <c r="R30" s="16">
        <v>87</v>
      </c>
      <c r="S30" s="16">
        <v>25</v>
      </c>
      <c r="T30" s="16">
        <v>63</v>
      </c>
      <c r="U30" s="16">
        <v>2</v>
      </c>
      <c r="V30" s="16">
        <v>7</v>
      </c>
      <c r="W30" s="16">
        <v>7</v>
      </c>
      <c r="X30" s="16">
        <v>0</v>
      </c>
      <c r="Y30" s="16">
        <v>134</v>
      </c>
      <c r="Z30" s="17">
        <f>IF(OR(M30="",M30=0),"",((13*S30+3*(T30+V30)-2*Y30)/M30+League!$Y$2))</f>
        <v>4.4031842558971004</v>
      </c>
      <c r="AA30" s="16">
        <f>VLOOKUP(B30,BPF!$A$2:$B$31,2,FALSE)</f>
        <v>97</v>
      </c>
      <c r="AB30" s="19">
        <f>IF(OR(E30="",E30=0),"",(E30/(League!$E$3*AA30/100)*100))</f>
        <v>102.61393125768492</v>
      </c>
      <c r="AC30" s="19">
        <f>IF(OR(Z30="",Z30=0),"",(Z30/(League!$Y$3*AA30/100)*100))</f>
        <v>114.46374515342563</v>
      </c>
      <c r="AD30" s="20">
        <f>IF(OR((C30+D30)="",(C30+D30)=0),"",(C30/(C30+D30)))</f>
        <v>0.6</v>
      </c>
      <c r="AE30" s="17">
        <f>IF(OR(F30="",F30=0),"",(M30/F30))</f>
        <v>6.15625</v>
      </c>
      <c r="AF30" s="17">
        <f>IF(OR(AA30="",AA30=0,League!$Q$7="",League!$Q$7=0),"",(Z30*100/AA30*(League!$P$7/League!$Q$7)))</f>
        <v>4.9208987478732453</v>
      </c>
      <c r="AG30" s="34">
        <f>(1.19*AE30-0.056*AF30+1.71)*League!$AB$4</f>
        <v>8.852444335628169</v>
      </c>
      <c r="AH30" s="17">
        <f>IF(OR(League!$Q$3="",League!$Q$3=0),"",(League!$Y$3*(League!$P$3/League!$Q$3)))</f>
        <v>4.277699473514514</v>
      </c>
      <c r="AI30" s="17">
        <f>IF(OR(League!$Q$4="",League!$Q$4=0,AA30="",AA30=0,F30="",F30=0,League!$G$3="",League!$G$3=0,League!$Q$5="",League!$Q$5=0),"",((Z30/(AA30/100)/9*(League!$P$4/League!$Q$4)*(M30/F30)+(League!$M$3/League!$G$3-M30/F30)*(League!$Y$5/9*League!$P$5/League!$Q$5))/(League!$M$3/League!$G$3)*9))</f>
        <v>4.6270968965864254</v>
      </c>
      <c r="AJ30" s="17">
        <f>IF(AH30="","",((AH30+AI30)^0.287))</f>
        <v>1.8730185816804783</v>
      </c>
      <c r="AK30" s="21">
        <f>IF(AM30="","",(AM30*F30))</f>
        <v>14.8256458176796</v>
      </c>
      <c r="AL30" s="21">
        <f>IF(AK30="","",(F30-AK30))</f>
        <v>17.1743541823204</v>
      </c>
      <c r="AM30" s="20">
        <f>IF(AJ30="","",(AH30^AJ30/(AH30^AJ30+AI30^AJ30)))</f>
        <v>0.46330143180248751</v>
      </c>
      <c r="AN30" s="38">
        <f>IF(OR(AG30="",AG30=0),"",IF(((M30/AG30)&gt;=F30),AK30,IF(OR(AM30=1,(AK30-(F30-M30/AG30)*League!$AA$5)&gt;=AK30),AK30,IF(OR(AM30=0,(AK30-(F30-M30/AG30)*League!$AA$5)&lt;=0),0,(AK30-(F30-M30/AG30)*League!$AA$5)))))</f>
        <v>9.9204138184814852</v>
      </c>
      <c r="AO30" s="38">
        <f>IF(OR(AG30="",AG30=0),"",IF((M30/AG30)&gt;=F30,AL30,(M30/AG30-AN30)))</f>
        <v>12.333326790441632</v>
      </c>
      <c r="AP30" s="20">
        <f>IF(OR(AN30="",(AN30+AO30)=0),"",(AN30/(AN30+AO30)))</f>
        <v>0.44578635083504486</v>
      </c>
      <c r="AQ30" s="22">
        <f>IF(AN30="","",((C30-AN30)+(AO30-D30)))</f>
        <v>6.4129129719601465</v>
      </c>
      <c r="AR30" s="14"/>
      <c r="AS30" s="14"/>
      <c r="AT30" s="13"/>
      <c r="AU30" s="14"/>
      <c r="AV30" s="14"/>
      <c r="AW30" s="13"/>
      <c r="AX30" s="14"/>
    </row>
    <row r="31" spans="1:50" x14ac:dyDescent="0.3">
      <c r="A31" s="15" t="s">
        <v>59</v>
      </c>
      <c r="B31" s="16" t="s">
        <v>41</v>
      </c>
      <c r="C31" s="16">
        <v>15</v>
      </c>
      <c r="D31" s="16">
        <v>12</v>
      </c>
      <c r="E31" s="17">
        <f>IF(OR(M31="",M31=0),"",(R31/M31*9))</f>
        <v>4.0393700787401583</v>
      </c>
      <c r="F31" s="16">
        <v>33</v>
      </c>
      <c r="G31" s="16">
        <v>33</v>
      </c>
      <c r="H31" s="16">
        <v>3</v>
      </c>
      <c r="I31" s="16">
        <v>2</v>
      </c>
      <c r="J31" s="16">
        <v>0</v>
      </c>
      <c r="K31" s="16">
        <v>0</v>
      </c>
      <c r="L31" s="16">
        <v>0</v>
      </c>
      <c r="M31" s="18">
        <f>IF(N31="","",(INT(N31)+(N31-INT(N31))*10/3))</f>
        <v>211.66666666666663</v>
      </c>
      <c r="N31" s="16">
        <v>211.2</v>
      </c>
      <c r="O31" s="16">
        <v>905</v>
      </c>
      <c r="P31" s="44">
        <v>236</v>
      </c>
      <c r="Q31" s="16">
        <v>99</v>
      </c>
      <c r="R31" s="16">
        <v>95</v>
      </c>
      <c r="S31" s="16">
        <v>30</v>
      </c>
      <c r="T31" s="16">
        <v>59</v>
      </c>
      <c r="U31" s="16">
        <v>1</v>
      </c>
      <c r="V31" s="16">
        <v>8</v>
      </c>
      <c r="W31" s="16">
        <v>7</v>
      </c>
      <c r="X31" s="16">
        <v>0</v>
      </c>
      <c r="Y31" s="16">
        <v>111</v>
      </c>
      <c r="Z31" s="17">
        <f>IF(OR(M31="",M31=0),"",((13*S31+3*(T31+V31)-2*Y31)/M31+League!$Y$2))</f>
        <v>4.7911613932726951</v>
      </c>
      <c r="AA31" s="16">
        <f>VLOOKUP(B31,BPF!$A$2:$B$31,2,FALSE)</f>
        <v>102</v>
      </c>
      <c r="AB31" s="19">
        <f>IF(OR(E31="",E31=0),"",(E31/(League!$E$3*AA31/100)*100))</f>
        <v>99.173581414498329</v>
      </c>
      <c r="AC31" s="19">
        <f>IF(OR(Z31="",Z31=0),"",(Z31/(League!$Y$3*AA31/100)*100))</f>
        <v>118.44410626927373</v>
      </c>
      <c r="AD31" s="20">
        <f>IF(OR((C31+D31)="",(C31+D31)=0),"",(C31/(C31+D31)))</f>
        <v>0.55555555555555558</v>
      </c>
      <c r="AE31" s="17">
        <f>IF(OR(F31="",F31=0),"",(M31/F31))</f>
        <v>6.4141414141414126</v>
      </c>
      <c r="AF31" s="17">
        <f>IF(OR(AA31="",AA31=0,League!$Q$7="",League!$Q$7=0),"",(Z31*100/AA31*(League!$P$7/League!$Q$7)))</f>
        <v>5.0920180311432981</v>
      </c>
      <c r="AG31" s="34">
        <f>(1.19*AE31-0.056*AF31+1.71)*League!$AB$4</f>
        <v>9.1528773404236166</v>
      </c>
      <c r="AH31" s="17">
        <f>IF(OR(League!$Q$3="",League!$Q$3=0),"",(League!$Y$3*(League!$P$3/League!$Q$3)))</f>
        <v>4.277699473514514</v>
      </c>
      <c r="AI31" s="17">
        <f>IF(OR(League!$Q$4="",League!$Q$4=0,AA31="",AA31=0,F31="",F31=0,League!$G$3="",League!$G$3=0,League!$Q$5="",League!$Q$5=0),"",((Z31/(AA31/100)/9*(League!$P$4/League!$Q$4)*(M31/F31)+(League!$M$3/League!$G$3-M31/F31)*(League!$Y$5/9*League!$P$5/League!$Q$5))/(League!$M$3/League!$G$3)*9))</f>
        <v>4.772680576839079</v>
      </c>
      <c r="AJ31" s="17">
        <f>IF(AH31="","",((AH31+AI31)^0.287))</f>
        <v>1.8817562901424656</v>
      </c>
      <c r="AK31" s="21">
        <f>IF(AM31="","",(AM31*F31))</f>
        <v>14.806168868212028</v>
      </c>
      <c r="AL31" s="21">
        <f>IF(AK31="","",(F31-AK31))</f>
        <v>18.193831131787974</v>
      </c>
      <c r="AM31" s="20">
        <f>IF(AJ31="","",(AH31^AJ31/(AH31^AJ31+AI31^AJ31)))</f>
        <v>0.44867178388521295</v>
      </c>
      <c r="AN31" s="38">
        <f>IF(OR(AG31="",AG31=0),"",IF(((M31/AG31)&gt;=F31),AK31,IF(OR(AM31=1,(AK31-(F31-M31/AG31)*League!$AA$5)&gt;=AK31),AK31,IF(OR(AM31=0,(AK31-(F31-M31/AG31)*League!$AA$5)&lt;=0),0,(AK31-(F31-M31/AG31)*League!$AA$5)))))</f>
        <v>9.8364932373146843</v>
      </c>
      <c r="AO31" s="38">
        <f>IF(OR(AG31="",AG31=0),"",IF((M31/AG31)&gt;=F31,AL31,(M31/AG31-AN31)))</f>
        <v>13.289203611242691</v>
      </c>
      <c r="AP31" s="20">
        <f>IF(OR(AN31="",(AN31+AO31)=0),"",(AN31/(AN31+AO31)))</f>
        <v>0.42534905225691844</v>
      </c>
      <c r="AQ31" s="22">
        <f>IF(AN31="","",((C31-AN31)+(AO31-D31)))</f>
        <v>6.4527103739280065</v>
      </c>
      <c r="AR31" s="14"/>
      <c r="AS31" s="14"/>
      <c r="AT31" s="13"/>
      <c r="AU31" s="14"/>
      <c r="AV31" s="14"/>
      <c r="AW31" s="13"/>
      <c r="AX31" s="14"/>
    </row>
    <row r="32" spans="1:50" x14ac:dyDescent="0.3">
      <c r="A32" s="15" t="s">
        <v>56</v>
      </c>
      <c r="B32" s="16" t="s">
        <v>34</v>
      </c>
      <c r="C32" s="16">
        <v>14</v>
      </c>
      <c r="D32" s="16">
        <v>10</v>
      </c>
      <c r="E32" s="17">
        <f>IF(OR(M32="",M32=0),"",(R32/M32*9))</f>
        <v>3.8249999999999997</v>
      </c>
      <c r="F32" s="16">
        <v>32</v>
      </c>
      <c r="G32" s="16">
        <v>32</v>
      </c>
      <c r="H32" s="16">
        <v>1</v>
      </c>
      <c r="I32" s="16">
        <v>1</v>
      </c>
      <c r="J32" s="16">
        <v>0</v>
      </c>
      <c r="K32" s="16">
        <v>0</v>
      </c>
      <c r="L32" s="16">
        <v>0</v>
      </c>
      <c r="M32" s="18">
        <f>IF(N32="","",(INT(N32)+(N32-INT(N32))*10/3))</f>
        <v>200</v>
      </c>
      <c r="N32" s="16">
        <v>200</v>
      </c>
      <c r="O32" s="16">
        <v>823</v>
      </c>
      <c r="P32" s="16">
        <v>171</v>
      </c>
      <c r="Q32" s="16">
        <v>91</v>
      </c>
      <c r="R32" s="16">
        <v>85</v>
      </c>
      <c r="S32" s="44">
        <v>36</v>
      </c>
      <c r="T32" s="16">
        <v>54</v>
      </c>
      <c r="U32" s="16">
        <v>2</v>
      </c>
      <c r="V32" s="16">
        <v>4</v>
      </c>
      <c r="W32" s="16">
        <v>7</v>
      </c>
      <c r="X32" s="16">
        <v>0</v>
      </c>
      <c r="Y32" s="16">
        <v>171</v>
      </c>
      <c r="Z32" s="17">
        <f>IF(OR(M32="",M32=0),"",((13*S32+3*(T32+V32)-2*Y32)/M32+League!$Y$2))</f>
        <v>4.5478543066585218</v>
      </c>
      <c r="AA32" s="16">
        <f>VLOOKUP(B32,BPF!$A$2:$B$31,2,FALSE)</f>
        <v>97</v>
      </c>
      <c r="AB32" s="19">
        <f>IF(OR(E32="",E32=0),"",(E32/(League!$E$3*AA32/100)*100))</f>
        <v>98.751165454593888</v>
      </c>
      <c r="AC32" s="19">
        <f>IF(OR(Z32="",Z32=0),"",(Z32/(League!$Y$3*AA32/100)*100))</f>
        <v>118.22454071847852</v>
      </c>
      <c r="AD32" s="20">
        <f>IF(OR((C32+D32)="",(C32+D32)=0),"",(C32/(C32+D32)))</f>
        <v>0.58333333333333337</v>
      </c>
      <c r="AE32" s="17">
        <f>IF(OR(F32="",F32=0),"",(M32/F32))</f>
        <v>6.25</v>
      </c>
      <c r="AF32" s="17">
        <f>IF(OR(AA32="",AA32=0,League!$Q$7="",League!$Q$7=0),"",(Z32*100/AA32*(League!$P$7/League!$Q$7)))</f>
        <v>5.0825787117978054</v>
      </c>
      <c r="AG32" s="34">
        <f>(1.19*AE32-0.056*AF32+1.71)*League!$AB$4</f>
        <v>8.9560301879383744</v>
      </c>
      <c r="AH32" s="17">
        <f>IF(OR(League!$Q$3="",League!$Q$3=0),"",(League!$Y$3*(League!$P$3/League!$Q$3)))</f>
        <v>4.277699473514514</v>
      </c>
      <c r="AI32" s="17">
        <f>IF(OR(League!$Q$4="",League!$Q$4=0,AA32="",AA32=0,F32="",F32=0,League!$G$3="",League!$G$3=0,League!$Q$5="",League!$Q$5=0),"",((Z32/(AA32/100)/9*(League!$P$4/League!$Q$4)*(M32/F32)+(League!$M$3/League!$G$3-M32/F32)*(League!$Y$5/9*League!$P$5/League!$Q$5))/(League!$M$3/League!$G$3)*9))</f>
        <v>4.7477696749767491</v>
      </c>
      <c r="AJ32" s="17">
        <f>IF(AH32="","",((AH32+AI32)^0.287))</f>
        <v>1.8802683189525367</v>
      </c>
      <c r="AK32" s="21">
        <f>IF(AM32="","",(AM32*F32))</f>
        <v>14.43671494880558</v>
      </c>
      <c r="AL32" s="21">
        <f>IF(AK32="","",(F32-AK32))</f>
        <v>17.56328505119442</v>
      </c>
      <c r="AM32" s="20">
        <f>IF(AJ32="","",(AH32^AJ32/(AH32^AJ32+AI32^AJ32)))</f>
        <v>0.45114734215017438</v>
      </c>
      <c r="AN32" s="38">
        <f>IF(OR(AG32="",AG32=0),"",IF(((M32/AG32)&gt;=F32),AK32,IF(OR(AM32=1,(AK32-(F32-M32/AG32)*League!$AA$5)&gt;=AK32),AK32,IF(OR(AM32=0,(AK32-(F32-M32/AG32)*League!$AA$5)&lt;=0),0,(AK32-(F32-M32/AG32)*League!$AA$5)))))</f>
        <v>9.5705295222672859</v>
      </c>
      <c r="AO32" s="38">
        <f>IF(OR(AG32="",AG32=0),"",IF((M32/AG32)&gt;=F32,AL32,(M32/AG32-AN32)))</f>
        <v>12.760793151181499</v>
      </c>
      <c r="AP32" s="20">
        <f>IF(OR(AN32="",(AN32+AO32)=0),"",(AN32/(AN32+AO32)))</f>
        <v>0.4285697565799062</v>
      </c>
      <c r="AQ32" s="22">
        <f>IF(AN32="","",((C32-AN32)+(AO32-D32)))</f>
        <v>7.190263628914213</v>
      </c>
      <c r="AR32" s="14"/>
      <c r="AS32" s="14"/>
      <c r="AT32" s="13"/>
      <c r="AU32" s="14"/>
      <c r="AV32" s="14"/>
      <c r="AW32" s="13"/>
      <c r="AX32" s="14"/>
    </row>
    <row r="33" spans="1:50" x14ac:dyDescent="0.3">
      <c r="A33" s="15" t="s">
        <v>45</v>
      </c>
      <c r="B33" s="16" t="s">
        <v>46</v>
      </c>
      <c r="C33" s="16">
        <v>17</v>
      </c>
      <c r="D33" s="16">
        <v>7</v>
      </c>
      <c r="E33" s="17">
        <f>IF(OR(M33="",M33=0),"",(R33/M33*9))</f>
        <v>3.390894819466248</v>
      </c>
      <c r="F33" s="16">
        <v>33</v>
      </c>
      <c r="G33" s="16">
        <v>33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8">
        <f>IF(N33="","",(INT(N33)+(N33-INT(N33))*10/3))</f>
        <v>212.33333333333331</v>
      </c>
      <c r="N33" s="16">
        <v>212.1</v>
      </c>
      <c r="O33" s="16">
        <v>913</v>
      </c>
      <c r="P33" s="16">
        <v>200</v>
      </c>
      <c r="Q33" s="16">
        <v>93</v>
      </c>
      <c r="R33" s="16">
        <v>80</v>
      </c>
      <c r="S33" s="16">
        <v>15</v>
      </c>
      <c r="T33" s="16">
        <v>85</v>
      </c>
      <c r="U33" s="16">
        <v>3</v>
      </c>
      <c r="V33" s="16">
        <v>8</v>
      </c>
      <c r="W33" s="16">
        <v>14</v>
      </c>
      <c r="X33" s="43">
        <v>2</v>
      </c>
      <c r="Y33" s="16">
        <v>188</v>
      </c>
      <c r="Z33" s="17">
        <f>IF(OR(M33="",M33=0),"",((13*S33+3*(T33+V33)-2*Y33)/M33+League!$Y$2))</f>
        <v>3.509392768196983</v>
      </c>
      <c r="AA33" s="16">
        <f>VLOOKUP(B33,BPF!$A$2:$B$31,2,FALSE)</f>
        <v>96</v>
      </c>
      <c r="AB33" s="19">
        <f>IF(OR(E33="",E33=0),"",(E33/(League!$E$3*AA33/100)*100))</f>
        <v>88.455656561968851</v>
      </c>
      <c r="AC33" s="19">
        <f>IF(OR(Z33="",Z33=0),"",(Z33/(League!$Y$3*AA33/100)*100))</f>
        <v>92.179334893752824</v>
      </c>
      <c r="AD33" s="20">
        <f>IF(OR((C33+D33)="",(C33+D33)=0),"",(C33/(C33+D33)))</f>
        <v>0.70833333333333337</v>
      </c>
      <c r="AE33" s="17">
        <f>IF(OR(F33="",F33=0),"",(M33/F33))</f>
        <v>6.4343434343434334</v>
      </c>
      <c r="AF33" s="17">
        <f>IF(OR(AA33="",AA33=0,League!$Q$7="",League!$Q$7=0),"",(Z33*100/AA33*(League!$P$7/League!$Q$7)))</f>
        <v>3.962872025989109</v>
      </c>
      <c r="AG33" s="34">
        <f>(1.19*AE33-0.056*AF33+1.71)*League!$AB$4</f>
        <v>9.2410672124217506</v>
      </c>
      <c r="AH33" s="17">
        <f>IF(OR(League!$Q$3="",League!$Q$3=0),"",(League!$Y$3*(League!$P$3/League!$Q$3)))</f>
        <v>4.277699473514514</v>
      </c>
      <c r="AI33" s="17">
        <f>IF(OR(League!$Q$4="",League!$Q$4=0,AA33="",AA33=0,F33="",F33=0,League!$G$3="",League!$G$3=0,League!$Q$5="",League!$Q$5=0),"",((Z33/(AA33/100)/9*(League!$P$4/League!$Q$4)*(M33/F33)+(League!$M$3/League!$G$3-M33/F33)*(League!$Y$5/9*League!$P$5/League!$Q$5))/(League!$M$3/League!$G$3)*9))</f>
        <v>3.9700026506334054</v>
      </c>
      <c r="AJ33" s="17">
        <f>IF(AH33="","",((AH33+AI33)^0.287))</f>
        <v>1.8322619450526652</v>
      </c>
      <c r="AK33" s="21">
        <f>IF(AM33="","",(AM33*F33))</f>
        <v>17.626644352113342</v>
      </c>
      <c r="AL33" s="21">
        <f>IF(AK33="","",(F33-AK33))</f>
        <v>15.373355647886658</v>
      </c>
      <c r="AM33" s="20">
        <f>IF(AJ33="","",(AH33^AJ33/(AH33^AJ33+AI33^AJ33)))</f>
        <v>0.53414073794282857</v>
      </c>
      <c r="AN33" s="38">
        <f>IF(OR(AG33="",AG33=0),"",IF(((M33/AG33)&gt;=F33),AK33,IF(OR(AM33=1,(AK33-(F33-M33/AG33)*League!$AA$5)&gt;=AK33),AK33,IF(OR(AM33=0,(AK33-(F33-M33/AG33)*League!$AA$5)&lt;=0),0,(AK33-(F33-M33/AG33)*League!$AA$5)))))</f>
        <v>12.582203062133143</v>
      </c>
      <c r="AO33" s="38">
        <f>IF(OR(AG33="",AG33=0),"",IF((M33/AG33)&gt;=F33,AL33,(M33/AG33-AN33)))</f>
        <v>10.3949410763617</v>
      </c>
      <c r="AP33" s="20">
        <f>IF(OR(AN33="",(AN33+AO33)=0),"",(AN33/(AN33+AO33)))</f>
        <v>0.54759647179361615</v>
      </c>
      <c r="AQ33" s="22">
        <f>IF(AN33="","",((C33-AN33)+(AO33-D33)))</f>
        <v>7.8127380142285574</v>
      </c>
      <c r="AR33" s="14"/>
      <c r="AS33" s="14"/>
      <c r="AT33" s="13"/>
      <c r="AU33" s="14"/>
      <c r="AV33" s="14"/>
      <c r="AW33" s="13"/>
      <c r="AX33" s="14"/>
    </row>
    <row r="34" spans="1:50" x14ac:dyDescent="0.3">
      <c r="A34" s="15" t="s">
        <v>33</v>
      </c>
      <c r="B34" s="16" t="s">
        <v>34</v>
      </c>
      <c r="C34" s="16">
        <v>18</v>
      </c>
      <c r="D34" s="16">
        <v>6</v>
      </c>
      <c r="E34" s="17">
        <f>IF(OR(M34="",M34=0),"",(R34/M34*9))</f>
        <v>2.6479859894921192</v>
      </c>
      <c r="F34" s="16">
        <v>30</v>
      </c>
      <c r="G34" s="16">
        <v>30</v>
      </c>
      <c r="H34" s="16">
        <v>3</v>
      </c>
      <c r="I34" s="44">
        <v>3</v>
      </c>
      <c r="J34" s="16">
        <v>0</v>
      </c>
      <c r="K34" s="16">
        <v>0</v>
      </c>
      <c r="L34" s="16">
        <v>0</v>
      </c>
      <c r="M34" s="18">
        <f>IF(N34="","",(INT(N34)+(N34-INT(N34))*10/3))</f>
        <v>190.33333333333331</v>
      </c>
      <c r="N34" s="16">
        <v>190.1</v>
      </c>
      <c r="O34" s="16">
        <v>769</v>
      </c>
      <c r="P34" s="16">
        <v>193</v>
      </c>
      <c r="Q34" s="16">
        <v>60</v>
      </c>
      <c r="R34" s="16">
        <v>56</v>
      </c>
      <c r="S34" s="16">
        <v>14</v>
      </c>
      <c r="T34" s="16">
        <v>29</v>
      </c>
      <c r="U34" s="16">
        <v>0</v>
      </c>
      <c r="V34" s="16">
        <v>0</v>
      </c>
      <c r="W34" s="16">
        <v>1</v>
      </c>
      <c r="X34" s="16">
        <v>0</v>
      </c>
      <c r="Y34" s="16">
        <v>117</v>
      </c>
      <c r="Z34" s="17">
        <f>IF(OR(M34="",M34=0),"",((13*S34+3*(T34+V34)-2*Y34)/M34+League!$Y$2))</f>
        <v>3.2317422225954742</v>
      </c>
      <c r="AA34" s="16">
        <f>VLOOKUP(B34,BPF!$A$2:$B$31,2,FALSE)</f>
        <v>97</v>
      </c>
      <c r="AB34" s="19">
        <f>IF(OR(E34="",E34=0),"",(E34/(League!$E$3*AA34/100)*100))</f>
        <v>68.363843809093552</v>
      </c>
      <c r="AC34" s="19">
        <f>IF(OR(Z34="",Z34=0),"",(Z34/(League!$Y$3*AA34/100)*100))</f>
        <v>84.011319234099844</v>
      </c>
      <c r="AD34" s="20">
        <f>IF(OR((C34+D34)="",(C34+D34)=0),"",(C34/(C34+D34)))</f>
        <v>0.75</v>
      </c>
      <c r="AE34" s="17">
        <f>IF(OR(F34="",F34=0),"",(M34/F34))</f>
        <v>6.3444444444444441</v>
      </c>
      <c r="AF34" s="17">
        <f>IF(OR(AA34="",AA34=0,League!$Q$7="",League!$Q$7=0),"",(Z34*100/AA34*(League!$P$7/League!$Q$7)))</f>
        <v>3.6117217296370194</v>
      </c>
      <c r="AG34" s="34">
        <f>(1.19*AE34-0.056*AF34+1.71)*League!$AB$4</f>
        <v>9.1528340895016065</v>
      </c>
      <c r="AH34" s="17">
        <f>IF(OR(League!$Q$3="",League!$Q$3=0),"",(League!$Y$3*(League!$P$3/League!$Q$3)))</f>
        <v>4.277699473514514</v>
      </c>
      <c r="AI34" s="17">
        <f>IF(OR(League!$Q$4="",League!$Q$4=0,AA34="",AA34=0,F34="",F34=0,League!$G$3="",League!$G$3=0,League!$Q$5="",League!$Q$5=0),"",((Z34/(AA34/100)/9*(League!$P$4/League!$Q$4)*(M34/F34)+(League!$M$3/League!$G$3-M34/F34)*(League!$Y$5/9*League!$P$5/League!$Q$5))/(League!$M$3/League!$G$3)*9))</f>
        <v>3.7243568006013623</v>
      </c>
      <c r="AJ34" s="17">
        <f>IF(AH34="","",((AH34+AI34)^0.287))</f>
        <v>1.8164308092668904</v>
      </c>
      <c r="AK34" s="21">
        <f>IF(AM34="","",(AM34*F34))</f>
        <v>16.877212840948374</v>
      </c>
      <c r="AL34" s="21">
        <f>IF(AK34="","",(F34-AK34))</f>
        <v>13.122787159051626</v>
      </c>
      <c r="AM34" s="20">
        <f>IF(AJ34="","",(AH34^AJ34/(AH34^AJ34+AI34^AJ34)))</f>
        <v>0.56257376136494586</v>
      </c>
      <c r="AN34" s="38">
        <f>IF(OR(AG34="",AG34=0),"",IF(((M34/AG34)&gt;=F34),AK34,IF(OR(AM34=1,(AK34-(F34-M34/AG34)*League!$AA$5)&gt;=AK34),AK34,IF(OR(AM34=0,(AK34-(F34-M34/AG34)*League!$AA$5)&lt;=0),0,(AK34-(F34-M34/AG34)*League!$AA$5)))))</f>
        <v>12.244401504107717</v>
      </c>
      <c r="AO34" s="38">
        <f>IF(OR(AG34="",AG34=0),"",IF((M34/AG34)&gt;=F34,AL34,(M34/AG34-AN34)))</f>
        <v>8.5506147140544329</v>
      </c>
      <c r="AP34" s="20">
        <f>IF(OR(AN34="",(AN34+AO34)=0),"",(AN34/(AN34+AO34)))</f>
        <v>0.58881423200880145</v>
      </c>
      <c r="AQ34" s="22">
        <f>IF(AN34="","",((C34-AN34)+(AO34-D34)))</f>
        <v>8.3062132099467156</v>
      </c>
      <c r="AR34" s="14"/>
      <c r="AS34" s="14"/>
      <c r="AT34" s="13"/>
      <c r="AU34" s="14"/>
      <c r="AV34" s="14"/>
      <c r="AW34" s="13"/>
      <c r="AX34" s="14"/>
    </row>
    <row r="35" spans="1:50" x14ac:dyDescent="0.3">
      <c r="A35" s="52" t="s">
        <v>35</v>
      </c>
      <c r="B35" s="16" t="s">
        <v>28</v>
      </c>
      <c r="C35" s="44">
        <v>21</v>
      </c>
      <c r="D35" s="16">
        <v>3</v>
      </c>
      <c r="E35" s="17">
        <f>IF(OR(M35="",M35=0),"",(R35/M35*9))</f>
        <v>2.8973561430793162</v>
      </c>
      <c r="F35" s="16">
        <v>32</v>
      </c>
      <c r="G35" s="16">
        <v>32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8">
        <f>IF(N35="","",(INT(N35)+(N35-INT(N35))*10/3))</f>
        <v>214.33333333333331</v>
      </c>
      <c r="N35" s="16">
        <v>214.1</v>
      </c>
      <c r="O35" s="16">
        <v>836</v>
      </c>
      <c r="P35" s="16">
        <v>152</v>
      </c>
      <c r="Q35" s="16">
        <v>73</v>
      </c>
      <c r="R35" s="16">
        <v>69</v>
      </c>
      <c r="S35" s="16">
        <v>18</v>
      </c>
      <c r="T35" s="16">
        <v>56</v>
      </c>
      <c r="U35" s="16">
        <v>0</v>
      </c>
      <c r="V35" s="16">
        <v>4</v>
      </c>
      <c r="W35" s="16">
        <v>6</v>
      </c>
      <c r="X35" s="16">
        <v>1</v>
      </c>
      <c r="Y35" s="16">
        <v>240</v>
      </c>
      <c r="Z35" s="17">
        <f>IF(OR(M35="",M35=0),"",((13*S35+3*(T35+V35)-2*Y35)/M35+League!$Y$2))</f>
        <v>2.7399227358964682</v>
      </c>
      <c r="AA35" s="16">
        <f>VLOOKUP(B35,BPF!$A$2:$B$31,2,FALSE)</f>
        <v>102</v>
      </c>
      <c r="AB35" s="19">
        <f>IF(OR(E35="",E35=0),"",(E35/(League!$E$3*AA35/100)*100))</f>
        <v>71.135147248526536</v>
      </c>
      <c r="AC35" s="19">
        <f>IF(OR(Z35="",Z35=0),"",(Z35/(League!$Y$3*AA35/100)*100))</f>
        <v>67.734662446519181</v>
      </c>
      <c r="AD35" s="50">
        <f>IF(OR((C35+D35)="",(C35+D35)=0),"",(C35/(C35+D35)))</f>
        <v>0.875</v>
      </c>
      <c r="AE35" s="17">
        <f>IF(OR(F35="",F35=0),"",(M35/F35))</f>
        <v>6.6979166666666661</v>
      </c>
      <c r="AF35" s="17">
        <f>IF(OR(AA35="",AA35=0,League!$Q$7="",League!$Q$7=0),"",(Z35*100/AA35*(League!$P$7/League!$Q$7)))</f>
        <v>2.9119737011393583</v>
      </c>
      <c r="AG35" s="34">
        <f>(1.19*AE35-0.056*AF35+1.71)*League!$AB$4</f>
        <v>9.6174849085055349</v>
      </c>
      <c r="AH35" s="17">
        <f>IF(OR(League!$Q$3="",League!$Q$3=0),"",(League!$Y$3*(League!$P$3/League!$Q$3)))</f>
        <v>4.277699473514514</v>
      </c>
      <c r="AI35" s="17">
        <f>IF(OR(League!$Q$4="",League!$Q$4=0,AA35="",AA35=0,F35="",F35=0,League!$G$3="",League!$G$3=0,League!$Q$5="",League!$Q$5=0),"",((Z35/(AA35/100)/9*(League!$P$4/League!$Q$4)*(M35/F35)+(League!$M$3/League!$G$3-M35/F35)*(League!$Y$5/9*League!$P$5/League!$Q$5))/(League!$M$3/League!$G$3)*9))</f>
        <v>3.1866881399522611</v>
      </c>
      <c r="AJ35" s="17">
        <f>IF(AH35="","",((AH35+AI35)^0.287))</f>
        <v>1.7805301443521948</v>
      </c>
      <c r="AK35" s="51">
        <f>IF(AM35="","",(AM35*F35))</f>
        <v>20.100491390659233</v>
      </c>
      <c r="AL35" s="21">
        <f>IF(AK35="","",(F35-AK35))</f>
        <v>11.899508609340767</v>
      </c>
      <c r="AM35" s="20">
        <f>IF(AJ35="","",(AH35^AJ35/(AH35^AJ35+AI35^AJ35)))</f>
        <v>0.62814035595810103</v>
      </c>
      <c r="AN35" s="38">
        <f>IF(OR(AG35="",AG35=0),"",IF(((M35/AG35)&gt;=F35),AK35,IF(OR(AM35=1,(AK35-(F35-M35/AG35)*League!$AA$5)&gt;=AK35),AK35,IF(OR(AM35=0,(AK35-(F35-M35/AG35)*League!$AA$5)&lt;=0),0,(AK35-(F35-M35/AG35)*League!$AA$5)))))</f>
        <v>15.211394064832895</v>
      </c>
      <c r="AO35" s="38">
        <f>IF(OR(AG35="",AG35=0),"",IF((M35/AG35)&gt;=F35,AL35,(M35/AG35-AN35)))</f>
        <v>7.0744047040095381</v>
      </c>
      <c r="AP35" s="20">
        <f>IF(OR(AN35="",(AN35+AO35)=0),"",(AN35/(AN35+AO35)))</f>
        <v>0.68255996666809193</v>
      </c>
      <c r="AQ35" s="22">
        <f>IF(AN35="","",((C35-AN35)+(AO35-D35)))</f>
        <v>9.8630106391766432</v>
      </c>
      <c r="AR35" s="14"/>
      <c r="AS35" s="14"/>
      <c r="AT35" s="13"/>
      <c r="AU35" s="14"/>
      <c r="AV35" s="14"/>
      <c r="AW35" s="13"/>
      <c r="AX35" s="14"/>
    </row>
    <row r="36" spans="1:50" x14ac:dyDescent="0.3">
      <c r="A36" s="24" t="s">
        <v>52</v>
      </c>
      <c r="B36" s="25" t="s">
        <v>53</v>
      </c>
      <c r="C36" s="25">
        <v>16</v>
      </c>
      <c r="D36" s="25">
        <v>7</v>
      </c>
      <c r="E36" s="26">
        <f>IF(OR(M36="",M36=0),"",(R36/M36*9))</f>
        <v>3.7075928917609047</v>
      </c>
      <c r="F36" s="25">
        <v>33</v>
      </c>
      <c r="G36" s="25">
        <v>33</v>
      </c>
      <c r="H36" s="25">
        <v>1</v>
      </c>
      <c r="I36" s="25">
        <v>0</v>
      </c>
      <c r="J36" s="25">
        <v>0</v>
      </c>
      <c r="K36" s="25">
        <v>0</v>
      </c>
      <c r="L36" s="25">
        <v>0</v>
      </c>
      <c r="M36" s="27">
        <f>IF(N36="","",(INT(N36)+(N36-INT(N36))*10/3))</f>
        <v>206.33333333333331</v>
      </c>
      <c r="N36" s="25">
        <v>206.1</v>
      </c>
      <c r="O36" s="25">
        <v>845</v>
      </c>
      <c r="P36" s="25">
        <v>184</v>
      </c>
      <c r="Q36" s="25">
        <v>87</v>
      </c>
      <c r="R36" s="25">
        <v>85</v>
      </c>
      <c r="S36" s="25">
        <v>33</v>
      </c>
      <c r="T36" s="25">
        <v>68</v>
      </c>
      <c r="U36" s="25">
        <v>2</v>
      </c>
      <c r="V36" s="25">
        <v>3</v>
      </c>
      <c r="W36" s="25">
        <v>6</v>
      </c>
      <c r="X36" s="25">
        <v>1</v>
      </c>
      <c r="Y36" s="25">
        <v>179</v>
      </c>
      <c r="Z36" s="26">
        <f>IF(OR(M36="",M36=0),"",((13*S36+3*(T36+V36)-2*Y36)/M36+League!$Y$2))</f>
        <v>4.4242678769331576</v>
      </c>
      <c r="AA36" s="25">
        <f>VLOOKUP(B36,BPF!$A$2:$B$31,2,FALSE)</f>
        <v>103</v>
      </c>
      <c r="AB36" s="28">
        <f>IF(OR(E36="",E36=0),"",(E36/(League!$E$3*AA36/100)*100))</f>
        <v>90.144106991504685</v>
      </c>
      <c r="AC36" s="28">
        <f>IF(OR(Z36="",Z36=0),"",(Z36/(League!$Y$3*AA36/100)*100))</f>
        <v>108.31210996336426</v>
      </c>
      <c r="AD36" s="29">
        <f>IF(OR((C36+D36)="",(C36+D36)=0),"",(C36/(C36+D36)))</f>
        <v>0.69565217391304346</v>
      </c>
      <c r="AE36" s="26">
        <f>IF(OR(F36="",F36=0),"",(M36/F36))</f>
        <v>6.2525252525252517</v>
      </c>
      <c r="AF36" s="26">
        <f>IF(OR(AA36="",AA36=0,League!$Q$7="",League!$Q$7=0),"",(Z36*100/AA36*(League!$P$7/League!$Q$7)))</f>
        <v>4.6564344507845004</v>
      </c>
      <c r="AG36" s="26">
        <f>(1.19*AE36-0.056*AF36+1.71)*League!$AB$4</f>
        <v>8.9831817291099352</v>
      </c>
      <c r="AH36" s="26">
        <f>IF(OR(League!$Q$3="",League!$Q$3=0),"",(League!$Y$3*(League!$P$3/League!$Q$3)))</f>
        <v>4.277699473514514</v>
      </c>
      <c r="AI36" s="26">
        <f>IF(OR(League!$Q$4="",League!$Q$4=0,AA36="",AA36=0,F36="",F36=0,League!$G$3="",League!$G$3=0,League!$Q$5="",League!$Q$5=0),"",((Z36/(AA36/100)/9*(League!$P$4/League!$Q$4)*(M36/F36)+(League!$M$3/League!$G$3-M36/F36)*(League!$Y$5/9*League!$P$5/League!$Q$5))/(League!$M$3/League!$G$3)*9))</f>
        <v>4.4528465928519649</v>
      </c>
      <c r="AJ36" s="26">
        <f>IF(AH36="","",((AH36+AI36)^0.287))</f>
        <v>1.8624253922109779</v>
      </c>
      <c r="AK36" s="30">
        <f>IF(AM36="","",(AM36*F36))</f>
        <v>15.883716396570424</v>
      </c>
      <c r="AL36" s="30">
        <f>IF(AK36="","",(F36-AK36))</f>
        <v>17.116283603429576</v>
      </c>
      <c r="AM36" s="29">
        <f>IF(AJ36="","",(AH36^AJ36/(AH36^AJ36+AI36^AJ36)))</f>
        <v>0.48132473929001285</v>
      </c>
      <c r="AN36" s="30">
        <f>IF(OR(AG36="",AG36=0),"",IF(((M36/AG36)&gt;=F36),AK36,IF(OR(AM36=1,(AK36-(F36-M36/AG36)*League!$AA$5)&gt;=AK36),AK36,IF(OR(AM36=0,(AK36-(F36-M36/AG36)*League!$AA$5)&lt;=0),0,(AK36-(F36-M36/AG36)*League!$AA$5)))))</f>
        <v>10.835099579294241</v>
      </c>
      <c r="AO36" s="30">
        <f>IF(OR(AG36="",AG36=0),"",IF((M36/AG36)&gt;=F36,AL36,(M36/AG36-AN36)))</f>
        <v>12.13374815810727</v>
      </c>
      <c r="AP36" s="29">
        <f>IF(OR(AN36="",(AN36+AO36)=0),"",(AN36/(AN36+AO36)))</f>
        <v>0.47173021925914105</v>
      </c>
      <c r="AQ36" s="31">
        <f>IF(AN36="","",((C36-AN36)+(AO36-D36)))</f>
        <v>10.29864857881303</v>
      </c>
      <c r="AR36" s="14"/>
      <c r="AS36" s="14"/>
      <c r="AT36" s="13"/>
      <c r="AU36" s="14"/>
      <c r="AV36" s="14"/>
      <c r="AW36" s="13"/>
      <c r="AX36" s="14"/>
    </row>
    <row r="38" spans="1:50" x14ac:dyDescent="0.3">
      <c r="E38" s="10"/>
      <c r="M38" s="11"/>
      <c r="Z38" s="10"/>
      <c r="AB38" s="12"/>
      <c r="AC38" s="12"/>
      <c r="AD38" s="10"/>
      <c r="AE38" s="10"/>
      <c r="AF38" s="13"/>
      <c r="AG38" s="14"/>
      <c r="AH38" s="14"/>
      <c r="AI38" s="14"/>
      <c r="AJ38" s="13"/>
      <c r="AK38" s="14"/>
      <c r="AL38" s="14"/>
      <c r="AM38" s="13"/>
    </row>
    <row r="39" spans="1:50" x14ac:dyDescent="0.3">
      <c r="E39" s="10"/>
      <c r="M39" s="11"/>
      <c r="Z39" s="10"/>
      <c r="AB39" s="12"/>
      <c r="AC39" s="12"/>
      <c r="AD39" s="10"/>
      <c r="AE39" s="10"/>
      <c r="AF39" s="13"/>
      <c r="AG39" s="14"/>
      <c r="AH39" s="14"/>
      <c r="AI39" s="14"/>
      <c r="AJ39" s="13"/>
      <c r="AK39" s="14"/>
      <c r="AL39" s="14"/>
      <c r="AM39" s="13"/>
    </row>
    <row r="40" spans="1:50" x14ac:dyDescent="0.3">
      <c r="E40" s="10"/>
      <c r="M40" s="11"/>
      <c r="Z40" s="10"/>
      <c r="AB40" s="10"/>
      <c r="AC40" s="10"/>
      <c r="AD40" s="13"/>
      <c r="AE40" s="14"/>
      <c r="AF40" s="14"/>
      <c r="AG40" s="14"/>
      <c r="AH40" s="13"/>
      <c r="AK40" s="13"/>
    </row>
    <row r="41" spans="1:50" x14ac:dyDescent="0.3">
      <c r="E41" s="10"/>
      <c r="M41" s="11"/>
      <c r="Z41" s="10"/>
      <c r="AB41" s="10"/>
      <c r="AC41" s="10"/>
      <c r="AD41" s="13"/>
      <c r="AE41" s="14"/>
      <c r="AF41" s="14"/>
      <c r="AG41" s="14"/>
      <c r="AH41" s="13"/>
      <c r="AK41" s="13"/>
    </row>
    <row r="42" spans="1:50" x14ac:dyDescent="0.3">
      <c r="E42" s="10"/>
      <c r="M42" s="11"/>
      <c r="Z42" s="10"/>
      <c r="AB42" s="10"/>
      <c r="AC42" s="10"/>
      <c r="AD42" s="13"/>
      <c r="AE42" s="14"/>
      <c r="AF42" s="14"/>
      <c r="AG42" s="14"/>
      <c r="AH42" s="13"/>
      <c r="AK42" s="13"/>
    </row>
    <row r="43" spans="1:50" x14ac:dyDescent="0.3">
      <c r="E43" s="10"/>
      <c r="M43" s="11"/>
      <c r="Z43" s="10"/>
      <c r="AB43" s="10"/>
      <c r="AC43" s="10"/>
      <c r="AD43" s="13"/>
      <c r="AE43" s="14"/>
      <c r="AF43" s="14"/>
      <c r="AG43" s="14"/>
    </row>
    <row r="44" spans="1:50" x14ac:dyDescent="0.3">
      <c r="M44" s="11"/>
      <c r="Z44" s="10"/>
      <c r="AB44" s="10"/>
      <c r="AC44" s="10"/>
      <c r="AD44" s="13"/>
      <c r="AE44" s="14"/>
      <c r="AF44" s="14"/>
      <c r="AG44" s="14"/>
    </row>
    <row r="45" spans="1:50" x14ac:dyDescent="0.3">
      <c r="M45" s="11"/>
      <c r="Z45" s="10"/>
      <c r="AB45" s="10"/>
      <c r="AC45" s="10"/>
      <c r="AD45" s="13"/>
      <c r="AE45" s="14"/>
      <c r="AF45" s="14"/>
      <c r="AG45" s="14"/>
    </row>
    <row r="46" spans="1:50" x14ac:dyDescent="0.3">
      <c r="M46" s="11"/>
      <c r="Z46" s="10"/>
      <c r="AB46" s="10"/>
      <c r="AC46" s="10"/>
      <c r="AD46" s="13"/>
      <c r="AE46" s="14"/>
      <c r="AF46" s="14"/>
      <c r="AG46" s="14"/>
    </row>
  </sheetData>
  <autoFilter ref="A1:AQ36">
    <sortState ref="A2:AQ36">
      <sortCondition ref="AQ1:AQ36"/>
    </sortState>
  </autoFilter>
  <sortState ref="A2:AP36">
    <sortCondition descending="1" ref="AO1"/>
  </sortState>
  <phoneticPr fontId="18" type="noConversion"/>
  <conditionalFormatting sqref="AN2:AN36">
    <cfRule type="top10" dxfId="7" priority="2" rank="1"/>
  </conditionalFormatting>
  <conditionalFormatting sqref="AO2:AO36">
    <cfRule type="top10" dxfId="6" priority="1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4"/>
  <sheetViews>
    <sheetView topLeftCell="Z1" workbookViewId="0">
      <selection activeCell="AE1" sqref="AE1:AG1"/>
    </sheetView>
  </sheetViews>
  <sheetFormatPr defaultRowHeight="16.5" x14ac:dyDescent="0.3"/>
  <cols>
    <col min="1" max="1" width="15.625" style="9" customWidth="1"/>
    <col min="2" max="2" width="10.625" style="9" customWidth="1"/>
    <col min="3" max="5" width="9" style="9"/>
    <col min="6" max="13" width="9" style="9" customWidth="1"/>
    <col min="14" max="14" width="9" style="9" hidden="1" customWidth="1"/>
    <col min="15" max="25" width="9" style="9" customWidth="1"/>
    <col min="26" max="26" width="9" style="9"/>
    <col min="27" max="27" width="9" style="9" customWidth="1"/>
    <col min="28" max="29" width="9" style="9"/>
    <col min="30" max="36" width="9" style="9" customWidth="1"/>
    <col min="37" max="38" width="9" style="9"/>
    <col min="39" max="73" width="9" style="4"/>
  </cols>
  <sheetData>
    <row r="1" spans="1:47" x14ac:dyDescent="0.3">
      <c r="A1" s="7" t="s">
        <v>150</v>
      </c>
      <c r="B1" s="8" t="s">
        <v>151</v>
      </c>
      <c r="C1" s="8" t="s">
        <v>152</v>
      </c>
      <c r="D1" s="8" t="s">
        <v>153</v>
      </c>
      <c r="E1" s="8" t="s">
        <v>154</v>
      </c>
      <c r="F1" s="8" t="s">
        <v>155</v>
      </c>
      <c r="G1" s="8" t="s">
        <v>156</v>
      </c>
      <c r="H1" s="8" t="s">
        <v>157</v>
      </c>
      <c r="I1" s="8" t="s">
        <v>158</v>
      </c>
      <c r="J1" s="8" t="s">
        <v>159</v>
      </c>
      <c r="K1" s="8" t="s">
        <v>160</v>
      </c>
      <c r="L1" s="8" t="s">
        <v>161</v>
      </c>
      <c r="M1" s="8" t="s">
        <v>174</v>
      </c>
      <c r="N1" s="8" t="s">
        <v>162</v>
      </c>
      <c r="O1" s="8" t="s">
        <v>163</v>
      </c>
      <c r="P1" s="8" t="s">
        <v>164</v>
      </c>
      <c r="Q1" s="8" t="s">
        <v>165</v>
      </c>
      <c r="R1" s="8" t="s">
        <v>166</v>
      </c>
      <c r="S1" s="8" t="s">
        <v>167</v>
      </c>
      <c r="T1" s="8" t="s">
        <v>168</v>
      </c>
      <c r="U1" s="8" t="s">
        <v>169</v>
      </c>
      <c r="V1" s="8" t="s">
        <v>170</v>
      </c>
      <c r="W1" s="8" t="s">
        <v>171</v>
      </c>
      <c r="X1" s="8" t="s">
        <v>172</v>
      </c>
      <c r="Y1" s="8" t="s">
        <v>173</v>
      </c>
      <c r="Z1" s="8" t="s">
        <v>175</v>
      </c>
      <c r="AA1" s="8" t="s">
        <v>176</v>
      </c>
      <c r="AB1" s="8" t="s">
        <v>177</v>
      </c>
      <c r="AC1" s="8" t="s">
        <v>178</v>
      </c>
      <c r="AD1" s="8" t="s">
        <v>179</v>
      </c>
      <c r="AE1" s="8" t="s">
        <v>228</v>
      </c>
      <c r="AF1" s="8" t="s">
        <v>229</v>
      </c>
      <c r="AG1" s="8" t="s">
        <v>226</v>
      </c>
      <c r="AH1" s="8" t="s">
        <v>86</v>
      </c>
      <c r="AI1" s="8" t="s">
        <v>87</v>
      </c>
      <c r="AJ1" s="8" t="s">
        <v>180</v>
      </c>
      <c r="AK1" s="8" t="s">
        <v>183</v>
      </c>
      <c r="AL1" s="8" t="s">
        <v>88</v>
      </c>
      <c r="AM1" s="8" t="s">
        <v>181</v>
      </c>
      <c r="AN1" s="8" t="s">
        <v>184</v>
      </c>
      <c r="AO1" s="8" t="s">
        <v>185</v>
      </c>
      <c r="AP1" s="8" t="s">
        <v>187</v>
      </c>
      <c r="AQ1" s="40" t="s">
        <v>89</v>
      </c>
      <c r="AT1" s="53"/>
      <c r="AU1" s="53"/>
    </row>
    <row r="2" spans="1:47" x14ac:dyDescent="0.3">
      <c r="A2" s="32" t="s">
        <v>144</v>
      </c>
      <c r="B2" s="33" t="s">
        <v>182</v>
      </c>
      <c r="C2" s="33">
        <v>8</v>
      </c>
      <c r="D2" s="54">
        <v>18</v>
      </c>
      <c r="E2" s="34">
        <f>IF(OR(M2="",M2=0),"",(R2/M2*9))</f>
        <v>4.9790874524714832</v>
      </c>
      <c r="F2" s="33">
        <v>31</v>
      </c>
      <c r="G2" s="33">
        <v>31</v>
      </c>
      <c r="H2" s="33">
        <v>0</v>
      </c>
      <c r="I2" s="33">
        <v>0</v>
      </c>
      <c r="J2" s="33">
        <v>0</v>
      </c>
      <c r="K2" s="33">
        <v>0</v>
      </c>
      <c r="L2" s="33">
        <v>0</v>
      </c>
      <c r="M2" s="35">
        <f>IF(N2="","",(INT(N2)+(N2-INT(N2))*10/3))</f>
        <v>175.33333333333331</v>
      </c>
      <c r="N2" s="33">
        <v>175.1</v>
      </c>
      <c r="O2" s="33">
        <v>777</v>
      </c>
      <c r="P2" s="33">
        <v>197</v>
      </c>
      <c r="Q2" s="33">
        <v>110</v>
      </c>
      <c r="R2" s="33">
        <v>97</v>
      </c>
      <c r="S2" s="33">
        <v>16</v>
      </c>
      <c r="T2" s="33">
        <v>59</v>
      </c>
      <c r="U2" s="33">
        <v>7</v>
      </c>
      <c r="V2" s="33">
        <v>5</v>
      </c>
      <c r="W2" s="33">
        <v>14</v>
      </c>
      <c r="X2" s="33">
        <v>0</v>
      </c>
      <c r="Y2" s="33">
        <v>135</v>
      </c>
      <c r="Z2" s="34">
        <f>IF(OR(M2="",M2=0),"",((13*S2+3*(T2+V2)-2*Y2)/M2+League!$Y$2))</f>
        <v>3.7892991735786734</v>
      </c>
      <c r="AA2" s="33">
        <f>VLOOKUP(B2,BPF!$A$2:$B$31,2,FALSE)</f>
        <v>104</v>
      </c>
      <c r="AB2" s="36">
        <f>IF(OR(E2="",E2=0),"",(E2/(League!$E$6*AA2/100)*100))</f>
        <v>128.06360018596453</v>
      </c>
      <c r="AC2" s="36">
        <f>IF(OR(Z2="",Z2=0),"",(Z2/(League!$Y$6*AA2/100)*100))</f>
        <v>96.754094887101999</v>
      </c>
      <c r="AD2" s="37">
        <f>IF(OR((C2+D2)="",(C2+D2)=0),"",(C2/(C2+D2)))</f>
        <v>0.30769230769230771</v>
      </c>
      <c r="AE2" s="34">
        <f>IF(OR(F2="",F2=0),"",(M2/F2))</f>
        <v>5.6559139784946231</v>
      </c>
      <c r="AF2" s="34">
        <f>IF(OR(AA2="",AA2=0,League!$Q$7="",League!$Q$7=0),"",(Z2*100/AA2*(League!$P$7/League!$Q$7)))</f>
        <v>3.9497977662413275</v>
      </c>
      <c r="AG2" s="34">
        <f>(1.19*AE2-0.056*AF2+1.71)*League!$AB$7</f>
        <v>8.3743659202037986</v>
      </c>
      <c r="AH2" s="34">
        <f>IF(OR(League!$Q$6="",League!$Q$6=0),"",(League!$Y$6*(League!$P$6/League!$Q$6)))</f>
        <v>4.0745235060076688</v>
      </c>
      <c r="AI2" s="34">
        <f>IF(OR(League!$Q$7="",League!$Q$7=0,AA2="",AA2=0,F2="",F2=0,League!$G$6="",League!$G$6=0,League!$Q$8="",League!$Q$8=0),"",((Z2/(AA2/100)/9*(League!$P$7/League!$Q$7)*(M2/F2)+(League!$M$6/League!$G$6-M2/F2)*(League!$Y$8/9*League!$P$8/League!$Q$8))/(League!$M$6/League!$G$6)*9))</f>
        <v>3.9467158748853439</v>
      </c>
      <c r="AJ2" s="34">
        <f>IF(AH2="","",((AH2+AI2)^0.287))</f>
        <v>1.8176794781470964</v>
      </c>
      <c r="AK2" s="38">
        <f>IF(AM2="","",(AM2*F2))</f>
        <v>15.948827687363144</v>
      </c>
      <c r="AL2" s="38">
        <f>IF(AK2="","",(F2-AK2))</f>
        <v>15.051172312636856</v>
      </c>
      <c r="AM2" s="37">
        <f>IF(AJ2="","",(AH2^AJ2/(AH2^AJ2+AI2^AJ2)))</f>
        <v>0.51447831249558529</v>
      </c>
      <c r="AN2" s="38">
        <f>IF(OR(AG2="",AG2=0),"",IF(((M2/AG2)&gt;=F2),AK2,IF(OR(AM2=1,(AK2-(F2-M2/AG2)*League!$AA$8)&gt;=AK2),AK2,IF(OR(AM2=0,(AK2-(F2-M2/AG2)*League!$AA$8)&lt;=0),0,(AK2-(F2-M2/AG2)*League!$AA$8)))))</f>
        <v>10.865276315629028</v>
      </c>
      <c r="AO2" s="38">
        <f>IF(OR(AG2="",AG2=0),"",IF((M2/AG2)&gt;=F2,AL2,(M2/AG2-AN2)))</f>
        <v>10.071632222165842</v>
      </c>
      <c r="AP2" s="37">
        <f>IF(OR(AN2="",(AN2+AO2)=0),"",(AN2/(AN2+AO2)))</f>
        <v>0.51895323017795381</v>
      </c>
      <c r="AQ2" s="56">
        <f>IF(AN2="","",((C2-AN2)+(AO2-D2)))</f>
        <v>-10.793644093463186</v>
      </c>
      <c r="AS2" s="41"/>
      <c r="AT2" s="53"/>
      <c r="AU2" s="53"/>
    </row>
    <row r="3" spans="1:47" x14ac:dyDescent="0.3">
      <c r="A3" s="15" t="s">
        <v>131</v>
      </c>
      <c r="B3" s="16" t="s">
        <v>100</v>
      </c>
      <c r="C3" s="16">
        <v>8</v>
      </c>
      <c r="D3" s="16">
        <v>14</v>
      </c>
      <c r="E3" s="17">
        <f>IF(OR(M3="",M3=0),"",(R3/M3*9))</f>
        <v>3.6</v>
      </c>
      <c r="F3" s="16">
        <v>33</v>
      </c>
      <c r="G3" s="16">
        <v>33</v>
      </c>
      <c r="H3" s="16">
        <v>1</v>
      </c>
      <c r="I3" s="16">
        <v>0</v>
      </c>
      <c r="J3" s="16">
        <v>0</v>
      </c>
      <c r="K3" s="16">
        <v>0</v>
      </c>
      <c r="L3" s="16">
        <v>0</v>
      </c>
      <c r="M3" s="18">
        <f>IF(N3="","",(INT(N3)+(N3-INT(N3))*10/3))</f>
        <v>220</v>
      </c>
      <c r="N3" s="16">
        <v>220</v>
      </c>
      <c r="O3" s="16">
        <v>905</v>
      </c>
      <c r="P3" s="16">
        <v>205</v>
      </c>
      <c r="Q3" s="16">
        <v>94</v>
      </c>
      <c r="R3" s="16">
        <v>88</v>
      </c>
      <c r="S3" s="16">
        <v>21</v>
      </c>
      <c r="T3" s="16">
        <v>50</v>
      </c>
      <c r="U3" s="16">
        <v>5</v>
      </c>
      <c r="V3" s="16">
        <v>9</v>
      </c>
      <c r="W3" s="16">
        <v>4</v>
      </c>
      <c r="X3" s="16">
        <v>0</v>
      </c>
      <c r="Y3" s="16">
        <v>202</v>
      </c>
      <c r="Z3" s="17">
        <f>IF(OR(M3="",M3=0),"",((13*S3+3*(T3+V3)-2*Y3)/M3+League!$Y$2))</f>
        <v>3.2569452157494303</v>
      </c>
      <c r="AA3" s="16">
        <f>VLOOKUP(B3,BPF!$A$2:$B$31,2,FALSE)</f>
        <v>101</v>
      </c>
      <c r="AB3" s="19">
        <f>IF(OR(E3="",E3=0),"",(E3/(League!$E$6*AA3/100)*100))</f>
        <v>95.343352517069874</v>
      </c>
      <c r="AC3" s="19">
        <f>IF(OR(Z3="",Z3=0),"",(Z3/(League!$Y$6*AA3/100)*100))</f>
        <v>85.631367265733886</v>
      </c>
      <c r="AD3" s="20">
        <f>IF(OR((C3+D3)="",(C3+D3)=0),"",(C3/(C3+D3)))</f>
        <v>0.36363636363636365</v>
      </c>
      <c r="AE3" s="17">
        <f>IF(OR(F3="",F3=0),"",(M3/F3))</f>
        <v>6.666666666666667</v>
      </c>
      <c r="AF3" s="17">
        <f>IF(OR(AA3="",AA3=0,League!$Q$7="",League!$Q$7=0),"",(Z3*100/AA3*(League!$P$7/League!$Q$7)))</f>
        <v>3.4957340414485589</v>
      </c>
      <c r="AG3" s="34">
        <f>(1.19*AE3-0.056*AF3+1.71)*League!$AB$7</f>
        <v>9.6257534844191195</v>
      </c>
      <c r="AH3" s="17">
        <f>IF(OR(League!$Q$6="",League!$Q$6=0),"",(League!$Y$6*(League!$P$6/League!$Q$6)))</f>
        <v>4.0745235060076688</v>
      </c>
      <c r="AI3" s="17">
        <f>IF(OR(League!$Q$7="",League!$Q$7=0,AA3="",AA3=0,F3="",F3=0,League!$G$6="",League!$G$6=0,League!$Q$8="",League!$Q$8=0),"",((Z3/(AA3/100)/9*(League!$P$7/League!$Q$7)*(M3/F3)+(League!$M$6/League!$G$6-M3/F3)*(League!$Y$8/9*League!$P$8/League!$Q$8))/(League!$M$6/League!$G$6)*9))</f>
        <v>3.6109575274639534</v>
      </c>
      <c r="AJ3" s="17">
        <f>IF(AH3="","",((AH3+AI3)^0.287))</f>
        <v>1.7955090266747049</v>
      </c>
      <c r="AK3" s="21">
        <f>IF(AM3="","",(AM3*F3))</f>
        <v>18.282141331073959</v>
      </c>
      <c r="AL3" s="21">
        <f>IF(AK3="","",(F3-AK3))</f>
        <v>14.717858668926041</v>
      </c>
      <c r="AM3" s="20">
        <f>IF(AJ3="","",(AH3^AJ3/(AH3^AJ3+AI3^AJ3)))</f>
        <v>0.55400428275981695</v>
      </c>
      <c r="AN3" s="21">
        <f>IF(OR(AG3="",AG3=0),"",IF(((M3/AG3)&gt;=F3),AK3,IF(OR(AM3=1,(AK3-(F3-M3/AG3)*League!$AA$8)&gt;=AK3),AK3,IF(OR(AM3=0,(AK3-(F3-M3/AG3)*League!$AA$8)&lt;=0),0,(AK3-(F3-M3/AG3)*League!$AA$8)))))</f>
        <v>13.15739104136348</v>
      </c>
      <c r="AO3" s="21">
        <f>IF(OR(AG3="",AG3=0),"",IF((M3/AG3)&gt;=F3,AL3,(M3/AG3-AN3)))</f>
        <v>9.6979626050919929</v>
      </c>
      <c r="AP3" s="20">
        <f>IF(OR(AN3="",(AN3+AO3)=0),"",(AN3/(AN3+AO3)))</f>
        <v>0.57568092119213377</v>
      </c>
      <c r="AQ3" s="22">
        <f>IF(AN3="","",((C3-AN3)+(AO3-D3)))</f>
        <v>-9.4594284362714873</v>
      </c>
    </row>
    <row r="4" spans="1:47" x14ac:dyDescent="0.3">
      <c r="A4" s="15" t="s">
        <v>116</v>
      </c>
      <c r="B4" s="16" t="s">
        <v>101</v>
      </c>
      <c r="C4" s="16">
        <v>10</v>
      </c>
      <c r="D4" s="16">
        <v>11</v>
      </c>
      <c r="E4" s="17">
        <f>IF(OR(M4="",M4=0),"",(R4/M4*9))</f>
        <v>3.2984293193717278</v>
      </c>
      <c r="F4" s="16">
        <v>30</v>
      </c>
      <c r="G4" s="16">
        <v>30</v>
      </c>
      <c r="H4" s="16">
        <v>1</v>
      </c>
      <c r="I4" s="16">
        <v>0</v>
      </c>
      <c r="J4" s="16">
        <v>0</v>
      </c>
      <c r="K4" s="16">
        <v>0</v>
      </c>
      <c r="L4" s="16">
        <v>0</v>
      </c>
      <c r="M4" s="18">
        <f>IF(N4="","",(INT(N4)+(N4-INT(N4))*10/3))</f>
        <v>191</v>
      </c>
      <c r="N4" s="16">
        <v>191</v>
      </c>
      <c r="O4" s="16">
        <v>801</v>
      </c>
      <c r="P4" s="16">
        <v>165</v>
      </c>
      <c r="Q4" s="16">
        <v>79</v>
      </c>
      <c r="R4" s="16">
        <v>70</v>
      </c>
      <c r="S4" s="16">
        <v>11</v>
      </c>
      <c r="T4" s="16">
        <v>67</v>
      </c>
      <c r="U4" s="16">
        <v>3</v>
      </c>
      <c r="V4" s="16">
        <v>9</v>
      </c>
      <c r="W4" s="16">
        <v>12</v>
      </c>
      <c r="X4" s="16">
        <v>0</v>
      </c>
      <c r="Y4" s="16">
        <v>209</v>
      </c>
      <c r="Z4" s="17">
        <f>IF(OR(M4="",M4=0),"",((13*S4+3*(T4+V4)-2*Y4)/M4+League!$Y$2))</f>
        <v>2.8017810082292018</v>
      </c>
      <c r="AA4" s="16">
        <f>VLOOKUP(B4,BPF!$A$2:$B$31,2,FALSE)</f>
        <v>97</v>
      </c>
      <c r="AB4" s="19">
        <f>IF(OR(E4="",E4=0),"",(E4/(League!$E$6*AA4/100)*100))</f>
        <v>90.958803677832918</v>
      </c>
      <c r="AC4" s="19">
        <f>IF(OR(Z4="",Z4=0),"",(Z4/(League!$Y$6*AA4/100)*100))</f>
        <v>76.701922867040366</v>
      </c>
      <c r="AD4" s="20">
        <f>IF(OR((C4+D4)="",(C4+D4)=0),"",(C4/(C4+D4)))</f>
        <v>0.47619047619047616</v>
      </c>
      <c r="AE4" s="17">
        <f>IF(OR(F4="",F4=0),"",(M4/F4))</f>
        <v>6.3666666666666663</v>
      </c>
      <c r="AF4" s="17">
        <f>IF(OR(AA4="",AA4=0,League!$Q$7="",League!$Q$7=0),"",(Z4*100/AA4*(League!$P$7/League!$Q$7)))</f>
        <v>3.1312068389473082</v>
      </c>
      <c r="AG4" s="34">
        <f>(1.19*AE4-0.056*AF4+1.71)*League!$AB$7</f>
        <v>9.2828189851988565</v>
      </c>
      <c r="AH4" s="17">
        <f>IF(OR(League!$Q$6="",League!$Q$6=0),"",(League!$Y$6*(League!$P$6/League!$Q$6)))</f>
        <v>4.0745235060076688</v>
      </c>
      <c r="AI4" s="17">
        <f>IF(OR(League!$Q$7="",League!$Q$7=0,AA4="",AA4=0,F4="",F4=0,League!$G$6="",League!$G$6=0,League!$Q$8="",League!$Q$8=0),"",((Z4/(AA4/100)/9*(League!$P$7/League!$Q$7)*(M4/F4)+(League!$M$6/League!$G$6-M4/F4)*(League!$Y$8/9*League!$P$8/League!$Q$8))/(League!$M$6/League!$G$6)*9))</f>
        <v>3.3676946530452376</v>
      </c>
      <c r="AJ4" s="17">
        <f>IF(AH4="","",((AH4+AI4)^0.287))</f>
        <v>1.77901081326412</v>
      </c>
      <c r="AK4" s="21">
        <f>IF(AM4="","",(AM4*F4))</f>
        <v>17.518039285819185</v>
      </c>
      <c r="AL4" s="21">
        <f>IF(AK4="","",(F4-AK4))</f>
        <v>12.481960714180815</v>
      </c>
      <c r="AM4" s="20">
        <f>IF(AJ4="","",(AH4^AJ4/(AH4^AJ4+AI4^AJ4)))</f>
        <v>0.58393464286063956</v>
      </c>
      <c r="AN4" s="21">
        <f>IF(OR(AG4="",AG4=0),"",IF(((M4/AG4)&gt;=F4),AK4,IF(OR(AM4=1,(AK4-(F4-M4/AG4)*League!$AA$8)&gt;=AK4),AK4,IF(OR(AM4=0,(AK4-(F4-M4/AG4)*League!$AA$8)&lt;=0),0,(AK4-(F4-M4/AG4)*League!$AA$8)))))</f>
        <v>12.757157759745965</v>
      </c>
      <c r="AO4" s="21">
        <f>IF(OR(AG4="",AG4=0),"",IF((M4/AG4)&gt;=F4,AL4,(M4/AG4-AN4)))</f>
        <v>7.8184885287945178</v>
      </c>
      <c r="AP4" s="20">
        <f>IF(OR(AN4="",(AN4+AO4)=0),"",(AN4/(AN4+AO4)))</f>
        <v>0.62001249345207732</v>
      </c>
      <c r="AQ4" s="22">
        <f>IF(AN4="","",((C4-AN4)+(AO4-D4)))</f>
        <v>-5.9386692309514473</v>
      </c>
    </row>
    <row r="5" spans="1:47" x14ac:dyDescent="0.3">
      <c r="A5" s="15" t="s">
        <v>137</v>
      </c>
      <c r="B5" s="16" t="s">
        <v>92</v>
      </c>
      <c r="C5" s="16">
        <v>8</v>
      </c>
      <c r="D5" s="16">
        <v>13</v>
      </c>
      <c r="E5" s="17">
        <f>IF(OR(M5="",M5=0),"",(R5/M5*9))</f>
        <v>4.3385335413416541</v>
      </c>
      <c r="F5" s="16">
        <v>33</v>
      </c>
      <c r="G5" s="16">
        <v>33</v>
      </c>
      <c r="H5" s="16">
        <v>2</v>
      </c>
      <c r="I5" s="16">
        <v>1</v>
      </c>
      <c r="J5" s="16">
        <v>0</v>
      </c>
      <c r="K5" s="16">
        <v>0</v>
      </c>
      <c r="L5" s="16">
        <v>0</v>
      </c>
      <c r="M5" s="18">
        <f>IF(N5="","",(INT(N5)+(N5-INT(N5))*10/3))</f>
        <v>213.66666666666663</v>
      </c>
      <c r="N5" s="16">
        <v>213.2</v>
      </c>
      <c r="O5" s="16">
        <v>914</v>
      </c>
      <c r="P5" s="16">
        <v>210</v>
      </c>
      <c r="Q5" s="16">
        <v>109</v>
      </c>
      <c r="R5" s="16">
        <v>103</v>
      </c>
      <c r="S5" s="16">
        <v>25</v>
      </c>
      <c r="T5" s="16">
        <v>78</v>
      </c>
      <c r="U5" s="16">
        <v>3</v>
      </c>
      <c r="V5" s="16">
        <v>8</v>
      </c>
      <c r="W5" s="16">
        <v>11</v>
      </c>
      <c r="X5" s="16">
        <v>0</v>
      </c>
      <c r="Y5" s="16">
        <v>214</v>
      </c>
      <c r="Z5" s="17">
        <f>IF(OR(M5="",M5=0),"",((13*S5+3*(T5+V5)-2*Y5)/M5+League!$Y$2))</f>
        <v>3.7732833238192081</v>
      </c>
      <c r="AA5" s="16">
        <f>VLOOKUP(B5,BPF!$A$2:$B$31,2,FALSE)</f>
        <v>104</v>
      </c>
      <c r="AB5" s="19">
        <f>IF(OR(E5="",E5=0),"",(E5/(League!$E$6*AA5/100)*100))</f>
        <v>111.58836436102074</v>
      </c>
      <c r="AC5" s="19">
        <f>IF(OR(Z5="",Z5=0),"",(Z5/(League!$Y$6*AA5/100)*100))</f>
        <v>96.345154083976809</v>
      </c>
      <c r="AD5" s="20">
        <f>IF(OR((C5+D5)="",(C5+D5)=0),"",(C5/(C5+D5)))</f>
        <v>0.38095238095238093</v>
      </c>
      <c r="AE5" s="17">
        <f>IF(OR(F5="",F5=0),"",(M5/F5))</f>
        <v>6.474747474747474</v>
      </c>
      <c r="AF5" s="17">
        <f>IF(OR(AA5="",AA5=0,League!$Q$7="",League!$Q$7=0),"",(Z5*100/AA5*(League!$P$7/League!$Q$7)))</f>
        <v>3.9331035532202301</v>
      </c>
      <c r="AG5" s="34">
        <f>(1.19*AE5-0.056*AF5+1.71)*League!$AB$7</f>
        <v>9.3681077007906115</v>
      </c>
      <c r="AH5" s="17">
        <f>IF(OR(League!$Q$6="",League!$Q$6=0),"",(League!$Y$6*(League!$P$6/League!$Q$6)))</f>
        <v>4.0745235060076688</v>
      </c>
      <c r="AI5" s="17">
        <f>IF(OR(League!$Q$7="",League!$Q$7=0,AA5="",AA5=0,F5="",F5=0,League!$G$6="",League!$G$6=0,League!$Q$8="",League!$Q$8=0),"",((Z5/(AA5/100)/9*(League!$P$7/League!$Q$7)*(M5/F5)+(League!$M$6/League!$G$6-M5/F5)*(League!$Y$8/9*League!$P$8/League!$Q$8))/(League!$M$6/League!$G$6)*9))</f>
        <v>3.9354500672747323</v>
      </c>
      <c r="AJ5" s="17">
        <f>IF(AH5="","",((AH5+AI5)^0.287))</f>
        <v>1.8169464213475091</v>
      </c>
      <c r="AK5" s="21">
        <f>IF(AM5="","",(AM5*F5))</f>
        <v>17.020401758812014</v>
      </c>
      <c r="AL5" s="21">
        <f>IF(AK5="","",(F5-AK5))</f>
        <v>15.979598241187986</v>
      </c>
      <c r="AM5" s="20">
        <f>IF(AJ5="","",(AH5^AJ5/(AH5^AJ5+AI5^AJ5)))</f>
        <v>0.51576975026703076</v>
      </c>
      <c r="AN5" s="21">
        <f>IF(OR(AG5="",AG5=0),"",IF(((M5/AG5)&gt;=F5),AK5,IF(OR(AM5=1,(AK5-(F5-M5/AG5)*League!$AA$8)&gt;=AK5),AK5,IF(OR(AM5=0,(AK5-(F5-M5/AG5)*League!$AA$8)&lt;=0),0,(AK5-(F5-M5/AG5)*League!$AA$8)))))</f>
        <v>11.871668786356841</v>
      </c>
      <c r="AO5" s="21">
        <f>IF(OR(AG5="",AG5=0),"",IF((M5/AG5)&gt;=F5,AL5,(M5/AG5-AN5)))</f>
        <v>10.936210188885349</v>
      </c>
      <c r="AP5" s="20">
        <f>IF(OR(AN5="",(AN5+AO5)=0),"",(AN5/(AN5+AO5)))</f>
        <v>0.52050735621858846</v>
      </c>
      <c r="AQ5" s="22">
        <f>IF(AN5="","",((C5-AN5)+(AO5-D5)))</f>
        <v>-5.9354585974714915</v>
      </c>
    </row>
    <row r="6" spans="1:47" x14ac:dyDescent="0.3">
      <c r="A6" s="15" t="s">
        <v>106</v>
      </c>
      <c r="B6" s="16" t="s">
        <v>99</v>
      </c>
      <c r="C6" s="16">
        <v>9</v>
      </c>
      <c r="D6" s="16">
        <v>5</v>
      </c>
      <c r="E6" s="17">
        <f>IF(OR(M6="",M6=0),"",(R6/M6*9))</f>
        <v>2.2710280373831777</v>
      </c>
      <c r="F6" s="16">
        <v>26</v>
      </c>
      <c r="G6" s="16">
        <v>26</v>
      </c>
      <c r="H6" s="16">
        <v>1</v>
      </c>
      <c r="I6" s="16">
        <v>1</v>
      </c>
      <c r="J6" s="16">
        <v>0</v>
      </c>
      <c r="K6" s="16">
        <v>0</v>
      </c>
      <c r="L6" s="16">
        <v>0</v>
      </c>
      <c r="M6" s="18">
        <f>IF(N6="","",(INT(N6)+(N6-INT(N6))*10/3))</f>
        <v>178.33333333333331</v>
      </c>
      <c r="N6" s="16">
        <v>178.1</v>
      </c>
      <c r="O6" s="16">
        <v>690</v>
      </c>
      <c r="P6" s="16">
        <v>135</v>
      </c>
      <c r="Q6" s="16">
        <v>46</v>
      </c>
      <c r="R6" s="16">
        <v>45</v>
      </c>
      <c r="S6" s="16">
        <v>7</v>
      </c>
      <c r="T6" s="16">
        <v>31</v>
      </c>
      <c r="U6" s="16">
        <v>1</v>
      </c>
      <c r="V6" s="16">
        <v>4</v>
      </c>
      <c r="W6" s="16">
        <v>2</v>
      </c>
      <c r="X6" s="16">
        <v>0</v>
      </c>
      <c r="Y6" s="16">
        <v>191</v>
      </c>
      <c r="Z6" s="42">
        <f>IF(OR(M6="",M6=0),"",((13*S6+3*(T6+V6)-2*Y6)/M6+League!$Y$2))</f>
        <v>2.0048636524529138</v>
      </c>
      <c r="AA6" s="16">
        <f>VLOOKUP(B6,BPF!$A$2:$B$31,2,FALSE)</f>
        <v>96</v>
      </c>
      <c r="AB6" s="19">
        <f>IF(OR(E6="",E6=0),"",(E6/(League!$E$6*AA6/100)*100))</f>
        <v>63.279138024252731</v>
      </c>
      <c r="AC6" s="47">
        <f>IF(OR(Z6="",Z6=0),"",(Z6/(League!$Y$6*AA6/100)*100))</f>
        <v>55.4571322499799</v>
      </c>
      <c r="AD6" s="20">
        <f>IF(OR((C6+D6)="",(C6+D6)=0),"",(C6/(C6+D6)))</f>
        <v>0.6428571428571429</v>
      </c>
      <c r="AE6" s="17">
        <f>IF(OR(F6="",F6=0),"",(M6/F6))</f>
        <v>6.8589743589743586</v>
      </c>
      <c r="AF6" s="17">
        <f>IF(OR(AA6="",AA6=0,League!$Q$7="",League!$Q$7=0),"",(Z6*100/AA6*(League!$P$7/League!$Q$7)))</f>
        <v>2.2639295767141805</v>
      </c>
      <c r="AG6" s="34">
        <f>(1.19*AE6-0.056*AF6+1.71)*League!$AB$7</f>
        <v>9.9291977107804748</v>
      </c>
      <c r="AH6" s="17">
        <f>IF(OR(League!$Q$6="",League!$Q$6=0),"",(League!$Y$6*(League!$P$6/League!$Q$6)))</f>
        <v>4.0745235060076688</v>
      </c>
      <c r="AI6" s="17">
        <f>IF(OR(League!$Q$7="",League!$Q$7=0,AA6="",AA6=0,F6="",F6=0,League!$G$6="",League!$G$6=0,League!$Q$8="",League!$Q$8=0),"",((Z6/(AA6/100)/9*(League!$P$7/League!$Q$7)*(M6/F6)+(League!$M$6/League!$G$6-M6/F6)*(League!$Y$8/9*League!$P$8/League!$Q$8))/(League!$M$6/League!$G$6)*9))</f>
        <v>2.6616806359462144</v>
      </c>
      <c r="AJ6" s="17">
        <f>IF(AH6="","",((AH6+AI6)^0.287))</f>
        <v>1.728841479583717</v>
      </c>
      <c r="AK6" s="21">
        <f>IF(AM6="","",(AM6*F6))</f>
        <v>17.579896607182167</v>
      </c>
      <c r="AL6" s="21">
        <f>IF(AK6="","",(F6-AK6))</f>
        <v>8.4201033928178326</v>
      </c>
      <c r="AM6" s="50">
        <f>IF(AJ6="","",(AH6^AJ6/(AH6^AJ6+AI6^AJ6)))</f>
        <v>0.6761498695070064</v>
      </c>
      <c r="AN6" s="21">
        <f>IF(OR(AG6="",AG6=0),"",IF(((M6/AG6)&gt;=F6),AK6,IF(OR(AM6=1,(AK6-(F6-M6/AG6)*League!$AA$8)&gt;=AK6),AK6,IF(OR(AM6=0,(AK6-(F6-M6/AG6)*League!$AA$8)&lt;=0),0,(AK6-(F6-M6/AG6)*League!$AA$8)))))</f>
        <v>13.518597676580704</v>
      </c>
      <c r="AO6" s="21">
        <f>IF(OR(AG6="",AG6=0),"",IF((M6/AG6)&gt;=F6,AL6,(M6/AG6-AN6)))</f>
        <v>4.4419000925100072</v>
      </c>
      <c r="AP6" s="50">
        <f>IF(OR(AN6="",(AN6+AO6)=0),"",(AN6/(AN6+AO6)))</f>
        <v>0.752685023008976</v>
      </c>
      <c r="AQ6" s="22">
        <f>IF(AN6="","",((C6-AN6)+(AO6-D6)))</f>
        <v>-5.0766975840706969</v>
      </c>
    </row>
    <row r="7" spans="1:47" x14ac:dyDescent="0.3">
      <c r="A7" s="15" t="s">
        <v>112</v>
      </c>
      <c r="B7" s="16" t="s">
        <v>98</v>
      </c>
      <c r="C7" s="16">
        <v>8</v>
      </c>
      <c r="D7" s="16">
        <v>9</v>
      </c>
      <c r="E7" s="17">
        <f>IF(OR(M7="",M7=0),"",(R7/M7*9))</f>
        <v>3</v>
      </c>
      <c r="F7" s="16">
        <v>30</v>
      </c>
      <c r="G7" s="16">
        <v>30</v>
      </c>
      <c r="H7" s="16">
        <v>1</v>
      </c>
      <c r="I7" s="16">
        <v>1</v>
      </c>
      <c r="J7" s="16">
        <v>0</v>
      </c>
      <c r="K7" s="16">
        <v>0</v>
      </c>
      <c r="L7" s="16">
        <v>0</v>
      </c>
      <c r="M7" s="18">
        <f>IF(N7="","",(INT(N7)+(N7-INT(N7))*10/3))</f>
        <v>183</v>
      </c>
      <c r="N7" s="16">
        <v>183</v>
      </c>
      <c r="O7" s="16">
        <v>731</v>
      </c>
      <c r="P7" s="16">
        <v>136</v>
      </c>
      <c r="Q7" s="16">
        <v>71</v>
      </c>
      <c r="R7" s="16">
        <v>61</v>
      </c>
      <c r="S7" s="16">
        <v>16</v>
      </c>
      <c r="T7" s="16">
        <v>56</v>
      </c>
      <c r="U7" s="16">
        <v>1</v>
      </c>
      <c r="V7" s="16">
        <v>12</v>
      </c>
      <c r="W7" s="16">
        <v>7</v>
      </c>
      <c r="X7" s="44">
        <v>3</v>
      </c>
      <c r="Y7" s="16">
        <v>191</v>
      </c>
      <c r="Z7" s="17">
        <f>IF(OR(M7="",M7=0),"",((13*S7+3*(T7+V7)-2*Y7)/M7+League!$Y$2))</f>
        <v>3.2117887328880297</v>
      </c>
      <c r="AA7" s="16">
        <f>VLOOKUP(B7,BPF!$A$2:$B$31,2,FALSE)</f>
        <v>100</v>
      </c>
      <c r="AB7" s="19">
        <f>IF(OR(E7="",E7=0),"",(E7/(League!$E$6*AA7/100)*100))</f>
        <v>80.247321701867165</v>
      </c>
      <c r="AC7" s="19">
        <f>IF(OR(Z7="",Z7=0),"",(Z7/(League!$Y$6*AA7/100)*100))</f>
        <v>85.288557458164632</v>
      </c>
      <c r="AD7" s="20">
        <f>IF(OR((C7+D7)="",(C7+D7)=0),"",(C7/(C7+D7)))</f>
        <v>0.47058823529411764</v>
      </c>
      <c r="AE7" s="17">
        <f>IF(OR(F7="",F7=0),"",(M7/F7))</f>
        <v>6.1</v>
      </c>
      <c r="AF7" s="17">
        <f>IF(OR(AA7="",AA7=0,League!$Q$7="",League!$Q$7=0),"",(Z7*100/AA7*(League!$P$7/League!$Q$7)))</f>
        <v>3.4817394977161973</v>
      </c>
      <c r="AG7" s="34">
        <f>(1.19*AE7-0.056*AF7+1.71)*League!$AB$7</f>
        <v>8.9395006961225878</v>
      </c>
      <c r="AH7" s="17">
        <f>IF(OR(League!$Q$6="",League!$Q$6=0),"",(League!$Y$6*(League!$P$6/League!$Q$6)))</f>
        <v>4.0745235060076688</v>
      </c>
      <c r="AI7" s="17">
        <f>IF(OR(League!$Q$7="",League!$Q$7=0,AA7="",AA7=0,F7="",F7=0,League!$G$6="",League!$G$6=0,League!$Q$8="",League!$Q$8=0),"",((Z7/(AA7/100)/9*(League!$P$7/League!$Q$7)*(M7/F7)+(League!$M$6/League!$G$6-M7/F7)*(League!$Y$8/9*League!$P$8/League!$Q$8))/(League!$M$6/League!$G$6)*9))</f>
        <v>3.6295576569823522</v>
      </c>
      <c r="AJ7" s="17">
        <f>IF(AH7="","",((AH7+AI7)^0.287))</f>
        <v>1.7967550898284856</v>
      </c>
      <c r="AK7" s="21">
        <f>IF(AM7="","",(AM7*F7))</f>
        <v>16.552783891120836</v>
      </c>
      <c r="AL7" s="21">
        <f>IF(AK7="","",(F7-AK7))</f>
        <v>13.447216108879164</v>
      </c>
      <c r="AM7" s="20">
        <f>IF(AJ7="","",(AH7^AJ7/(AH7^AJ7+AI7^AJ7)))</f>
        <v>0.55175946303736123</v>
      </c>
      <c r="AN7" s="21">
        <f>IF(OR(AG7="",AG7=0),"",IF(((M7/AG7)&gt;=F7),AK7,IF(OR(AM7=1,(AK7-(F7-M7/AG7)*League!$AA$8)&gt;=AK7),AK7,IF(OR(AM7=0,(AK7-(F7-M7/AG7)*League!$AA$8)&lt;=0),0,(AK7-(F7-M7/AG7)*League!$AA$8)))))</f>
        <v>11.73900909869095</v>
      </c>
      <c r="AO7" s="21">
        <f>IF(OR(AG7="",AG7=0),"",IF((M7/AG7)&gt;=F7,AL7,(M7/AG7-AN7)))</f>
        <v>8.7319328723046219</v>
      </c>
      <c r="AP7" s="20">
        <f>IF(OR(AN7="",(AN7+AO7)=0),"",(AN7/(AN7+AO7)))</f>
        <v>0.57344743174610457</v>
      </c>
      <c r="AQ7" s="22">
        <f>IF(AN7="","",((C7-AN7)+(AO7-D7)))</f>
        <v>-4.007076226386328</v>
      </c>
    </row>
    <row r="8" spans="1:47" x14ac:dyDescent="0.3">
      <c r="A8" s="15" t="s">
        <v>132</v>
      </c>
      <c r="B8" s="16" t="s">
        <v>93</v>
      </c>
      <c r="C8" s="16">
        <v>11</v>
      </c>
      <c r="D8" s="16">
        <v>12</v>
      </c>
      <c r="E8" s="17">
        <f>IF(OR(M8="",M8=0),"",(R8/M8*9))</f>
        <v>3.4880382775119618</v>
      </c>
      <c r="F8" s="16">
        <v>32</v>
      </c>
      <c r="G8" s="16">
        <v>32</v>
      </c>
      <c r="H8" s="16">
        <v>2</v>
      </c>
      <c r="I8" s="16">
        <v>1</v>
      </c>
      <c r="J8" s="16">
        <v>0</v>
      </c>
      <c r="K8" s="16">
        <v>0</v>
      </c>
      <c r="L8" s="16">
        <v>0</v>
      </c>
      <c r="M8" s="18">
        <f>IF(N8="","",(INT(N8)+(N8-INT(N8))*10/3))</f>
        <v>209</v>
      </c>
      <c r="N8" s="16">
        <v>209</v>
      </c>
      <c r="O8" s="16">
        <v>849</v>
      </c>
      <c r="P8" s="16">
        <v>181</v>
      </c>
      <c r="Q8" s="16">
        <v>85</v>
      </c>
      <c r="R8" s="16">
        <v>81</v>
      </c>
      <c r="S8" s="16">
        <v>20</v>
      </c>
      <c r="T8" s="16">
        <v>54</v>
      </c>
      <c r="U8" s="16">
        <v>2</v>
      </c>
      <c r="V8" s="16">
        <v>10</v>
      </c>
      <c r="W8" s="16">
        <v>5</v>
      </c>
      <c r="X8" s="16">
        <v>2</v>
      </c>
      <c r="Y8" s="16">
        <v>199</v>
      </c>
      <c r="Z8" s="17">
        <f>IF(OR(M8="",M8=0),"",((13*S8+3*(T8+V8)-2*Y8)/M8+League!$Y$2))</f>
        <v>3.3062275124001479</v>
      </c>
      <c r="AA8" s="16">
        <f>VLOOKUP(B8,BPF!$A$2:$B$31,2,FALSE)</f>
        <v>101</v>
      </c>
      <c r="AB8" s="19">
        <f>IF(OR(E8="",E8=0),"",(E8/(League!$E$6*AA8/100)*100))</f>
        <v>92.378128634960049</v>
      </c>
      <c r="AC8" s="19">
        <f>IF(OR(Z8="",Z8=0),"",(Z8/(League!$Y$6*AA8/100)*100))</f>
        <v>86.927093833006026</v>
      </c>
      <c r="AD8" s="20">
        <f>IF(OR((C8+D8)="",(C8+D8)=0),"",(C8/(C8+D8)))</f>
        <v>0.47826086956521741</v>
      </c>
      <c r="AE8" s="17">
        <f>IF(OR(F8="",F8=0),"",(M8/F8))</f>
        <v>6.53125</v>
      </c>
      <c r="AF8" s="17">
        <f>IF(OR(AA8="",AA8=0,League!$Q$7="",League!$Q$7=0),"",(Z8*100/AA8*(League!$P$7/League!$Q$7)))</f>
        <v>3.5486295587601813</v>
      </c>
      <c r="AG8" s="34">
        <f>(1.19*AE8-0.056*AF8+1.71)*League!$AB$7</f>
        <v>9.4585504247848657</v>
      </c>
      <c r="AH8" s="17">
        <f>IF(OR(League!$Q$6="",League!$Q$6=0),"",(League!$Y$6*(League!$P$6/League!$Q$6)))</f>
        <v>4.0745235060076688</v>
      </c>
      <c r="AI8" s="17">
        <f>IF(OR(League!$Q$7="",League!$Q$7=0,AA8="",AA8=0,F8="",F8=0,League!$G$6="",League!$G$6=0,League!$Q$8="",League!$Q$8=0),"",((Z8/(AA8/100)/9*(League!$P$7/League!$Q$7)*(M8/F8)+(League!$M$6/League!$G$6-M8/F8)*(League!$Y$8/9*League!$P$8/League!$Q$8))/(League!$M$6/League!$G$6)*9))</f>
        <v>3.656097253266922</v>
      </c>
      <c r="AJ8" s="17">
        <f>IF(AH8="","",((AH8+AI8)^0.287))</f>
        <v>1.7985293267283207</v>
      </c>
      <c r="AK8" s="21">
        <f>IF(AM8="","",(AM8*F8))</f>
        <v>17.554158134967079</v>
      </c>
      <c r="AL8" s="21">
        <f>IF(AK8="","",(F8-AK8))</f>
        <v>14.445841865032921</v>
      </c>
      <c r="AM8" s="20">
        <f>IF(AJ8="","",(AH8^AJ8/(AH8^AJ8+AI8^AJ8)))</f>
        <v>0.5485674417177212</v>
      </c>
      <c r="AN8" s="21">
        <f>IF(OR(AG8="",AG8=0),"",IF(((M8/AG8)&gt;=F8),AK8,IF(OR(AM8=1,(AK8-(F8-M8/AG8)*League!$AA$8)&gt;=AK8),AK8,IF(OR(AM8=0,(AK8-(F8-M8/AG8)*League!$AA$8)&lt;=0),0,(AK8-(F8-M8/AG8)*League!$AA$8)))))</f>
        <v>12.551181353789481</v>
      </c>
      <c r="AO8" s="21">
        <f>IF(OR(AG8="",AG8=0),"",IF((M8/AG8)&gt;=F8,AL8,(M8/AG8-AN8)))</f>
        <v>9.5452277801454031</v>
      </c>
      <c r="AP8" s="20">
        <f>IF(OR(AN8="",(AN8+AO8)=0),"",(AN8/(AN8+AO8)))</f>
        <v>0.56801905131788222</v>
      </c>
      <c r="AQ8" s="22">
        <f>IF(AN8="","",((C8-AN8)+(AO8-D8)))</f>
        <v>-4.0059535736440779</v>
      </c>
    </row>
    <row r="9" spans="1:47" x14ac:dyDescent="0.3">
      <c r="A9" s="15" t="s">
        <v>118</v>
      </c>
      <c r="B9" s="16" t="s">
        <v>92</v>
      </c>
      <c r="C9" s="16">
        <v>9</v>
      </c>
      <c r="D9" s="16">
        <v>12</v>
      </c>
      <c r="E9" s="17">
        <f>IF(OR(M9="",M9=0),"",(R9/M9*9))</f>
        <v>3.1049999999999995</v>
      </c>
      <c r="F9" s="16">
        <v>32</v>
      </c>
      <c r="G9" s="16">
        <v>32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8">
        <f>IF(N9="","",(INT(N9)+(N9-INT(N9))*10/3))</f>
        <v>200</v>
      </c>
      <c r="N9" s="16">
        <v>200</v>
      </c>
      <c r="O9" s="16">
        <v>821</v>
      </c>
      <c r="P9" s="16">
        <v>163</v>
      </c>
      <c r="Q9" s="16">
        <v>73</v>
      </c>
      <c r="R9" s="16">
        <v>69</v>
      </c>
      <c r="S9" s="16">
        <v>18</v>
      </c>
      <c r="T9" s="16">
        <v>66</v>
      </c>
      <c r="U9" s="16">
        <v>2</v>
      </c>
      <c r="V9" s="16">
        <v>8</v>
      </c>
      <c r="W9" s="16">
        <v>6</v>
      </c>
      <c r="X9" s="16">
        <v>0</v>
      </c>
      <c r="Y9" s="16">
        <v>144</v>
      </c>
      <c r="Z9" s="17">
        <f>IF(OR(M9="",M9=0),"",((13*S9+3*(T9+V9)-2*Y9)/M9+League!$Y$2))</f>
        <v>3.8878543066585212</v>
      </c>
      <c r="AA9" s="16">
        <f>VLOOKUP(B9,BPF!$A$2:$B$31,2,FALSE)</f>
        <v>104</v>
      </c>
      <c r="AB9" s="19">
        <f>IF(OR(E9="",E9=0),"",(E9/(League!$E$6*AA9/100)*100))</f>
        <v>79.861517270608175</v>
      </c>
      <c r="AC9" s="19">
        <f>IF(OR(Z9="",Z9=0),"",(Z9/(League!$Y$6*AA9/100)*100))</f>
        <v>99.270553013213217</v>
      </c>
      <c r="AD9" s="20">
        <f>IF(OR((C9+D9)="",(C9+D9)=0),"",(C9/(C9+D9)))</f>
        <v>0.42857142857142855</v>
      </c>
      <c r="AE9" s="17">
        <f>IF(OR(F9="",F9=0),"",(M9/F9))</f>
        <v>6.25</v>
      </c>
      <c r="AF9" s="17">
        <f>IF(OR(AA9="",AA9=0,League!$Q$7="",League!$Q$7=0),"",(Z9*100/AA9*(League!$P$7/League!$Q$7)))</f>
        <v>4.0525272754879582</v>
      </c>
      <c r="AG9" s="34">
        <f>(1.19*AE9-0.056*AF9+1.71)*League!$AB$7</f>
        <v>9.0888002480491537</v>
      </c>
      <c r="AH9" s="17">
        <f>IF(OR(League!$Q$6="",League!$Q$6=0),"",(League!$Y$6*(League!$P$6/League!$Q$6)))</f>
        <v>4.0745235060076688</v>
      </c>
      <c r="AI9" s="17">
        <f>IF(OR(League!$Q$7="",League!$Q$7=0,AA9="",AA9=0,F9="",F9=0,League!$G$6="",League!$G$6=0,League!$Q$8="",League!$Q$8=0),"",((Z9/(AA9/100)/9*(League!$P$7/League!$Q$7)*(M9/F9)+(League!$M$6/League!$G$6-M9/F9)*(League!$Y$8/9*League!$P$8/League!$Q$8))/(League!$M$6/League!$G$6)*9))</f>
        <v>4.0186788651219425</v>
      </c>
      <c r="AJ9" s="17">
        <f>IF(AH9="","",((AH9+AI9)^0.287))</f>
        <v>1.8223448123907466</v>
      </c>
      <c r="AK9" s="21">
        <f>IF(AM9="","",(AM9*F9))</f>
        <v>16.201185021034345</v>
      </c>
      <c r="AL9" s="21">
        <f>IF(AK9="","",(F9-AK9))</f>
        <v>15.798814978965655</v>
      </c>
      <c r="AM9" s="20">
        <f>IF(AJ9="","",(AH9^AJ9/(AH9^AJ9+AI9^AJ9)))</f>
        <v>0.50628703190732327</v>
      </c>
      <c r="AN9" s="21">
        <f>IF(OR(AG9="",AG9=0),"",IF(((M9/AG9)&gt;=F9),AK9,IF(OR(AM9=1,(AK9-(F9-M9/AG9)*League!$AA$8)&gt;=AK9),AK9,IF(OR(AM9=0,(AK9-(F9-M9/AG9)*League!$AA$8)&lt;=0),0,(AK9-(F9-M9/AG9)*League!$AA$8)))))</f>
        <v>11.152084106671918</v>
      </c>
      <c r="AO9" s="21">
        <f>IF(OR(AG9="",AG9=0),"",IF((M9/AG9)&gt;=F9,AL9,(M9/AG9-AN9)))</f>
        <v>10.853020477173303</v>
      </c>
      <c r="AP9" s="20">
        <f>IF(OR(AN9="",(AN9+AO9)=0),"",(AN9/(AN9+AO9)))</f>
        <v>0.50679532397492377</v>
      </c>
      <c r="AQ9" s="22">
        <f>IF(AN9="","",((C9-AN9)+(AO9-D9)))</f>
        <v>-3.2990636294986153</v>
      </c>
    </row>
    <row r="10" spans="1:47" x14ac:dyDescent="0.3">
      <c r="A10" s="15" t="s">
        <v>136</v>
      </c>
      <c r="B10" s="16" t="s">
        <v>104</v>
      </c>
      <c r="C10" s="16">
        <v>10</v>
      </c>
      <c r="D10" s="16">
        <v>14</v>
      </c>
      <c r="E10" s="17">
        <f>IF(OR(M10="",M10=0),"",(R10/M10*9))</f>
        <v>4.3709949409780782</v>
      </c>
      <c r="F10" s="16">
        <v>32</v>
      </c>
      <c r="G10" s="16">
        <v>32</v>
      </c>
      <c r="H10" s="16">
        <v>1</v>
      </c>
      <c r="I10" s="16">
        <v>1</v>
      </c>
      <c r="J10" s="16">
        <v>0</v>
      </c>
      <c r="K10" s="16">
        <v>0</v>
      </c>
      <c r="L10" s="16">
        <v>0</v>
      </c>
      <c r="M10" s="18">
        <f>IF(N10="","",(INT(N10)+(N10-INT(N10))*10/3))</f>
        <v>197.66666666666663</v>
      </c>
      <c r="N10" s="16">
        <v>197.2</v>
      </c>
      <c r="O10" s="16">
        <v>841</v>
      </c>
      <c r="P10" s="16">
        <v>184</v>
      </c>
      <c r="Q10" s="16">
        <v>102</v>
      </c>
      <c r="R10" s="16">
        <v>96</v>
      </c>
      <c r="S10" s="16">
        <v>21</v>
      </c>
      <c r="T10" s="16">
        <v>76</v>
      </c>
      <c r="U10" s="16">
        <v>8</v>
      </c>
      <c r="V10" s="16">
        <v>7</v>
      </c>
      <c r="W10" s="16">
        <v>11</v>
      </c>
      <c r="X10" s="16">
        <v>2</v>
      </c>
      <c r="Y10" s="16">
        <v>193</v>
      </c>
      <c r="Z10" s="17">
        <f>IF(OR(M10="",M10=0),"",((13*S10+3*(T10+V10)-2*Y10)/M10+League!$Y$2))</f>
        <v>3.7358812881087742</v>
      </c>
      <c r="AA10" s="16">
        <f>VLOOKUP(B10,BPF!$A$2:$B$31,2,FALSE)</f>
        <v>94</v>
      </c>
      <c r="AB10" s="19">
        <f>IF(OR(E10="",E10=0),"",(E10/(League!$E$6*AA10/100)*100))</f>
        <v>124.38320467585167</v>
      </c>
      <c r="AC10" s="19">
        <f>IF(OR(Z10="",Z10=0),"",(Z10/(League!$Y$6*AA10/100)*100))</f>
        <v>105.53803715159927</v>
      </c>
      <c r="AD10" s="20">
        <f>IF(OR((C10+D10)="",(C10+D10)=0),"",(C10/(C10+D10)))</f>
        <v>0.41666666666666669</v>
      </c>
      <c r="AE10" s="17">
        <f>IF(OR(F10="",F10=0),"",(M10/F10))</f>
        <v>6.1770833333333321</v>
      </c>
      <c r="AF10" s="17">
        <f>IF(OR(AA10="",AA10=0,League!$Q$7="",League!$Q$7=0),"",(Z10*100/AA10*(League!$P$7/League!$Q$7)))</f>
        <v>4.3083851270717703</v>
      </c>
      <c r="AG10" s="34">
        <f>(1.19*AE10-0.056*AF10+1.71)*League!$AB$7</f>
        <v>8.9857946497981853</v>
      </c>
      <c r="AH10" s="17">
        <f>IF(OR(League!$Q$6="",League!$Q$6=0),"",(League!$Y$6*(League!$P$6/League!$Q$6)))</f>
        <v>4.0745235060076688</v>
      </c>
      <c r="AI10" s="17">
        <f>IF(OR(League!$Q$7="",League!$Q$7=0,AA10="",AA10=0,F10="",F10=0,League!$G$6="",League!$G$6=0,League!$Q$8="",League!$Q$8=0),"",((Z10/(AA10/100)/9*(League!$P$7/League!$Q$7)*(M10/F10)+(League!$M$6/League!$G$6-M10/F10)*(League!$Y$8/9*League!$P$8/League!$Q$8))/(League!$M$6/League!$G$6)*9))</f>
        <v>4.1935666478076454</v>
      </c>
      <c r="AJ10" s="17">
        <f>IF(AH10="","",((AH10+AI10)^0.287))</f>
        <v>1.8335607065178938</v>
      </c>
      <c r="AK10" s="21">
        <f>IF(AM10="","",(AM10*F10))</f>
        <v>15.577678125306001</v>
      </c>
      <c r="AL10" s="21">
        <f>IF(AK10="","",(F10-AK10))</f>
        <v>16.422321874693999</v>
      </c>
      <c r="AM10" s="20">
        <f>IF(AJ10="","",(AH10^AJ10/(AH10^AJ10+AI10^AJ10)))</f>
        <v>0.48680244141581253</v>
      </c>
      <c r="AN10" s="21">
        <f>IF(OR(AG10="",AG10=0),"",IF(((M10/AG10)&gt;=F10),AK10,IF(OR(AM10=1,(AK10-(F10-M10/AG10)*League!$AA$8)&gt;=AK10),AK10,IF(OR(AM10=0,(AK10-(F10-M10/AG10)*League!$AA$8)&lt;=0),0,(AK10-(F10-M10/AG10)*League!$AA$8)))))</f>
        <v>10.524828315165806</v>
      </c>
      <c r="AO10" s="21">
        <f>IF(OR(AG10="",AG10=0),"",IF((M10/AG10)&gt;=F10,AL10,(M10/AG10-AN10)))</f>
        <v>11.472855180873811</v>
      </c>
      <c r="AP10" s="20">
        <f>IF(OR(AN10="",(AN10+AO10)=0),"",(AN10/(AN10+AO10)))</f>
        <v>0.4784516659247624</v>
      </c>
      <c r="AQ10" s="22">
        <f>IF(AN10="","",((C10-AN10)+(AO10-D10)))</f>
        <v>-3.0519731342919947</v>
      </c>
    </row>
    <row r="11" spans="1:47" x14ac:dyDescent="0.3">
      <c r="A11" s="15" t="s">
        <v>143</v>
      </c>
      <c r="B11" s="16" t="s">
        <v>98</v>
      </c>
      <c r="C11" s="16">
        <v>10</v>
      </c>
      <c r="D11" s="16">
        <v>14</v>
      </c>
      <c r="E11" s="17">
        <f>IF(OR(M11="",M11=0),"",(R11/M11*9))</f>
        <v>4.6956521739130448</v>
      </c>
      <c r="F11" s="16">
        <v>30</v>
      </c>
      <c r="G11" s="16">
        <v>30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8">
        <f>IF(N11="","",(INT(N11)+(N11-INT(N11))*10/3))</f>
        <v>168.66666666666663</v>
      </c>
      <c r="N11" s="16">
        <v>168.2</v>
      </c>
      <c r="O11" s="16">
        <v>713</v>
      </c>
      <c r="P11" s="16">
        <v>178</v>
      </c>
      <c r="Q11" s="16">
        <v>92</v>
      </c>
      <c r="R11" s="16">
        <v>88</v>
      </c>
      <c r="S11" s="16">
        <v>28</v>
      </c>
      <c r="T11" s="16">
        <v>31</v>
      </c>
      <c r="U11" s="16">
        <v>0</v>
      </c>
      <c r="V11" s="16">
        <v>7</v>
      </c>
      <c r="W11" s="16">
        <v>8</v>
      </c>
      <c r="X11" s="16">
        <v>1</v>
      </c>
      <c r="Y11" s="16">
        <v>149</v>
      </c>
      <c r="Z11" s="17">
        <f>IF(OR(M11="",M11=0),"",((13*S11+3*(T11+V11)-2*Y11)/M11+League!$Y$2))</f>
        <v>4.1150479825478499</v>
      </c>
      <c r="AA11" s="16">
        <f>VLOOKUP(B11,BPF!$A$2:$B$31,2,FALSE)</f>
        <v>100</v>
      </c>
      <c r="AB11" s="19">
        <f>IF(OR(E11="",E11=0),"",(E11/(League!$E$6*AA11/100)*100))</f>
        <v>125.60450353335733</v>
      </c>
      <c r="AC11" s="19">
        <f>IF(OR(Z11="",Z11=0),"",(Z11/(League!$Y$6*AA11/100)*100))</f>
        <v>109.27446836985722</v>
      </c>
      <c r="AD11" s="20">
        <f>IF(OR((C11+D11)="",(C11+D11)=0),"",(C11/(C11+D11)))</f>
        <v>0.41666666666666669</v>
      </c>
      <c r="AE11" s="17">
        <f>IF(OR(F11="",F11=0),"",(M11/F11))</f>
        <v>5.6222222222222209</v>
      </c>
      <c r="AF11" s="17">
        <f>IF(OR(AA11="",AA11=0,League!$Q$7="",League!$Q$7=0),"",(Z11*100/AA11*(League!$P$7/League!$Q$7)))</f>
        <v>4.4609176653256828</v>
      </c>
      <c r="AG11" s="34">
        <f>(1.19*AE11-0.056*AF11+1.71)*League!$AB$7</f>
        <v>8.3043540336067796</v>
      </c>
      <c r="AH11" s="17">
        <f>IF(OR(League!$Q$6="",League!$Q$6=0),"",(League!$Y$6*(League!$P$6/League!$Q$6)))</f>
        <v>4.0745235060076688</v>
      </c>
      <c r="AI11" s="17">
        <f>IF(OR(League!$Q$7="",League!$Q$7=0,AA11="",AA11=0,F11="",F11=0,League!$G$6="",League!$G$6=0,League!$Q$8="",League!$Q$8=0),"",((Z11/(AA11/100)/9*(League!$P$7/League!$Q$7)*(M11/F11)+(League!$M$6/League!$G$6-M11/F11)*(League!$Y$8/9*League!$P$8/League!$Q$8))/(League!$M$6/League!$G$6)*9))</f>
        <v>4.2663081882609433</v>
      </c>
      <c r="AJ11" s="17">
        <f>IF(AH11="","",((AH11+AI11)^0.287))</f>
        <v>1.8381759755881513</v>
      </c>
      <c r="AK11" s="21">
        <f>IF(AM11="","",(AM11*F11))</f>
        <v>14.366274963732716</v>
      </c>
      <c r="AL11" s="21">
        <f>IF(AK11="","",(F11-AK11))</f>
        <v>15.633725036267284</v>
      </c>
      <c r="AM11" s="20">
        <f>IF(AJ11="","",(AH11^AJ11/(AH11^AJ11+AI11^AJ11)))</f>
        <v>0.47887583212442386</v>
      </c>
      <c r="AN11" s="21">
        <f>IF(OR(AG11="",AG11=0),"",IF(((M11/AG11)&gt;=F11),AK11,IF(OR(AM11=1,(AK11-(F11-M11/AG11)*League!$AA$8)&gt;=AK11),AK11,IF(OR(AM11=0,(AK11-(F11-M11/AG11)*League!$AA$8)&lt;=0),0,(AK11-(F11-M11/AG11)*League!$AA$8)))))</f>
        <v>9.4715159739746611</v>
      </c>
      <c r="AO11" s="21">
        <f>IF(OR(AG11="",AG11=0),"",IF((M11/AG11)&gt;=F11,AL11,(M11/AG11-AN11)))</f>
        <v>10.839114568038809</v>
      </c>
      <c r="AP11" s="20">
        <f>IF(OR(AN11="",(AN11+AO11)=0),"",(AN11/(AN11+AO11)))</f>
        <v>0.46633293606431353</v>
      </c>
      <c r="AQ11" s="22">
        <f>IF(AN11="","",((C11-AN11)+(AO11-D11)))</f>
        <v>-2.6324014059358518</v>
      </c>
    </row>
    <row r="12" spans="1:47" x14ac:dyDescent="0.3">
      <c r="A12" s="15" t="s">
        <v>126</v>
      </c>
      <c r="B12" s="16" t="s">
        <v>103</v>
      </c>
      <c r="C12" s="16">
        <v>11</v>
      </c>
      <c r="D12" s="16">
        <v>13</v>
      </c>
      <c r="E12" s="17">
        <f>IF(OR(M12="",M12=0),"",(R12/M12*9))</f>
        <v>3.9328968903436996</v>
      </c>
      <c r="F12" s="16">
        <v>33</v>
      </c>
      <c r="G12" s="16">
        <v>33</v>
      </c>
      <c r="H12" s="16">
        <v>2</v>
      </c>
      <c r="I12" s="16">
        <v>0</v>
      </c>
      <c r="J12" s="16">
        <v>0</v>
      </c>
      <c r="K12" s="16">
        <v>0</v>
      </c>
      <c r="L12" s="16">
        <v>0</v>
      </c>
      <c r="M12" s="18">
        <f>IF(N12="","",(INT(N12)+(N12-INT(N12))*10/3))</f>
        <v>203.66666666666663</v>
      </c>
      <c r="N12" s="16">
        <v>203.2</v>
      </c>
      <c r="O12" s="16">
        <v>857</v>
      </c>
      <c r="P12" s="16">
        <v>219</v>
      </c>
      <c r="Q12" s="16">
        <v>97</v>
      </c>
      <c r="R12" s="16">
        <v>89</v>
      </c>
      <c r="S12" s="16">
        <v>18</v>
      </c>
      <c r="T12" s="16">
        <v>40</v>
      </c>
      <c r="U12" s="16">
        <v>2</v>
      </c>
      <c r="V12" s="16">
        <v>2</v>
      </c>
      <c r="W12" s="16">
        <v>2</v>
      </c>
      <c r="X12" s="16">
        <v>1</v>
      </c>
      <c r="Y12" s="16">
        <v>131</v>
      </c>
      <c r="Z12" s="17">
        <f>IF(OR(M12="",M12=0),"",((13*S12+3*(T12+V12)-2*Y12)/M12+League!$Y$2))</f>
        <v>3.5290327027305346</v>
      </c>
      <c r="AA12" s="16">
        <f>VLOOKUP(B12,BPF!$A$2:$B$31,2,FALSE)</f>
        <v>95</v>
      </c>
      <c r="AB12" s="19">
        <f>IF(OR(E12="",E12=0),"",(E12/(League!$E$6*AA12/100)*100))</f>
        <v>110.73840069462591</v>
      </c>
      <c r="AC12" s="19">
        <f>IF(OR(Z12="",Z12=0),"",(Z12/(League!$Y$6*AA12/100)*100))</f>
        <v>98.645181522270036</v>
      </c>
      <c r="AD12" s="20">
        <f>IF(OR((C12+D12)="",(C12+D12)=0),"",(C12/(C12+D12)))</f>
        <v>0.45833333333333331</v>
      </c>
      <c r="AE12" s="17">
        <f>IF(OR(F12="",F12=0),"",(M12/F12))</f>
        <v>6.1717171717171704</v>
      </c>
      <c r="AF12" s="17">
        <f>IF(OR(AA12="",AA12=0,League!$Q$7="",League!$Q$7=0),"",(Z12*100/AA12*(League!$P$7/League!$Q$7)))</f>
        <v>4.0269977005290833</v>
      </c>
      <c r="AG12" s="34">
        <f>(1.19*AE12-0.056*AF12+1.71)*League!$AB$7</f>
        <v>8.9953433686389879</v>
      </c>
      <c r="AH12" s="17">
        <f>IF(OR(League!$Q$6="",League!$Q$6=0),"",(League!$Y$6*(League!$P$6/League!$Q$6)))</f>
        <v>4.0745235060076688</v>
      </c>
      <c r="AI12" s="17">
        <f>IF(OR(League!$Q$7="",League!$Q$7=0,AA12="",AA12=0,F12="",F12=0,League!$G$6="",League!$G$6=0,League!$Q$8="",League!$Q$8=0),"",((Z12/(AA12/100)/9*(League!$P$7/League!$Q$7)*(M12/F12)+(League!$M$6/League!$G$6-M12/F12)*(League!$Y$8/9*League!$P$8/League!$Q$8))/(League!$M$6/League!$G$6)*9))</f>
        <v>4.0001870642363624</v>
      </c>
      <c r="AJ12" s="17">
        <f>IF(AH12="","",((AH12+AI12)^0.287))</f>
        <v>1.8211488284921717</v>
      </c>
      <c r="AK12" s="21">
        <f>IF(AM12="","",(AM12*F12))</f>
        <v>16.776615024958947</v>
      </c>
      <c r="AL12" s="21">
        <f>IF(AK12="","",(F12-AK12))</f>
        <v>16.223384975041053</v>
      </c>
      <c r="AM12" s="20">
        <f>IF(AJ12="","",(AH12^AJ12/(AH12^AJ12+AI12^AJ12)))</f>
        <v>0.50838227348360443</v>
      </c>
      <c r="AN12" s="21">
        <f>IF(OR(AG12="",AG12=0),"",IF(((M12/AG12)&gt;=F12),AK12,IF(OR(AM12=1,(AK12-(F12-M12/AG12)*League!$AA$8)&gt;=AK12),AK12,IF(OR(AM12=0,(AK12-(F12-M12/AG12)*League!$AA$8)&lt;=0),0,(AK12-(F12-M12/AG12)*League!$AA$8)))))</f>
        <v>11.543754090816464</v>
      </c>
      <c r="AO12" s="21">
        <f>IF(OR(AG12="",AG12=0),"",IF((M12/AG12)&gt;=F12,AL12,(M12/AG12-AN12)))</f>
        <v>11.097590249269775</v>
      </c>
      <c r="AP12" s="20">
        <f>IF(OR(AN12="",(AN12+AO12)=0),"",(AN12/(AN12+AO12)))</f>
        <v>0.50985285667770086</v>
      </c>
      <c r="AQ12" s="22">
        <f>IF(AN12="","",((C12-AN12)+(AO12-D12)))</f>
        <v>-2.4461638415466886</v>
      </c>
    </row>
    <row r="13" spans="1:47" x14ac:dyDescent="0.3">
      <c r="A13" s="15" t="s">
        <v>140</v>
      </c>
      <c r="B13" s="16" t="s">
        <v>100</v>
      </c>
      <c r="C13" s="16">
        <v>10</v>
      </c>
      <c r="D13" s="16">
        <v>13</v>
      </c>
      <c r="E13" s="17">
        <f>IF(OR(M13="",M13=0),"",(R13/M13*9))</f>
        <v>4.697802197802198</v>
      </c>
      <c r="F13" s="16">
        <v>30</v>
      </c>
      <c r="G13" s="16">
        <v>30</v>
      </c>
      <c r="H13" s="16">
        <v>2</v>
      </c>
      <c r="I13" s="16">
        <v>1</v>
      </c>
      <c r="J13" s="16">
        <v>0</v>
      </c>
      <c r="K13" s="16">
        <v>0</v>
      </c>
      <c r="L13" s="16">
        <v>0</v>
      </c>
      <c r="M13" s="18">
        <f>IF(N13="","",(INT(N13)+(N13-INT(N13))*10/3))</f>
        <v>182</v>
      </c>
      <c r="N13" s="16">
        <v>182</v>
      </c>
      <c r="O13" s="16">
        <v>800</v>
      </c>
      <c r="P13" s="16">
        <v>207</v>
      </c>
      <c r="Q13" s="16">
        <v>104</v>
      </c>
      <c r="R13" s="16">
        <v>95</v>
      </c>
      <c r="S13" s="16">
        <v>18</v>
      </c>
      <c r="T13" s="16">
        <v>47</v>
      </c>
      <c r="U13" s="16">
        <v>4</v>
      </c>
      <c r="V13" s="16">
        <v>7</v>
      </c>
      <c r="W13" s="16">
        <v>3</v>
      </c>
      <c r="X13" s="16">
        <v>1</v>
      </c>
      <c r="Y13" s="16">
        <v>110</v>
      </c>
      <c r="Z13" s="17">
        <f>IF(OR(M13="",M13=0),"",((13*S13+3*(T13+V13)-2*Y13)/M13+League!$Y$2))</f>
        <v>4.014887273691488</v>
      </c>
      <c r="AA13" s="16">
        <f>VLOOKUP(B13,BPF!$A$2:$B$31,2,FALSE)</f>
        <v>101</v>
      </c>
      <c r="AB13" s="19">
        <f>IF(OR(E13="",E13=0),"",(E13/(League!$E$6*AA13/100)*100))</f>
        <v>124.4178363890335</v>
      </c>
      <c r="AC13" s="19">
        <f>IF(OR(Z13="",Z13=0),"",(Z13/(League!$Y$6*AA13/100)*100))</f>
        <v>105.5591248515636</v>
      </c>
      <c r="AD13" s="20">
        <f>IF(OR((C13+D13)="",(C13+D13)=0),"",(C13/(C13+D13)))</f>
        <v>0.43478260869565216</v>
      </c>
      <c r="AE13" s="17">
        <f>IF(OR(F13="",F13=0),"",(M13/F13))</f>
        <v>6.0666666666666664</v>
      </c>
      <c r="AF13" s="17">
        <f>IF(OR(AA13="",AA13=0,League!$Q$7="",League!$Q$7=0),"",(Z13*100/AA13*(League!$P$7/League!$Q$7)))</f>
        <v>4.309245991413599</v>
      </c>
      <c r="AG13" s="34">
        <f>(1.19*AE13-0.056*AF13+1.71)*League!$AB$7</f>
        <v>8.8518715728056172</v>
      </c>
      <c r="AH13" s="17">
        <f>IF(OR(League!$Q$6="",League!$Q$6=0),"",(League!$Y$6*(League!$P$6/League!$Q$6)))</f>
        <v>4.0745235060076688</v>
      </c>
      <c r="AI13" s="17">
        <f>IF(OR(League!$Q$7="",League!$Q$7=0,AA13="",AA13=0,F13="",F13=0,League!$G$6="",League!$G$6=0,League!$Q$8="",League!$Q$8=0),"",((Z13/(AA13/100)/9*(League!$P$7/League!$Q$7)*(M13/F13)+(League!$M$6/League!$G$6-M13/F13)*(League!$Y$8/9*League!$P$8/League!$Q$8))/(League!$M$6/League!$G$6)*9))</f>
        <v>4.1896415921588357</v>
      </c>
      <c r="AJ13" s="17">
        <f>IF(AH13="","",((AH13+AI13)^0.287))</f>
        <v>1.833310849634556</v>
      </c>
      <c r="AK13" s="21">
        <f>IF(AM13="","",(AM13*F13))</f>
        <v>14.61699395644332</v>
      </c>
      <c r="AL13" s="21">
        <f>IF(AK13="","",(F13-AK13))</f>
        <v>15.38300604355668</v>
      </c>
      <c r="AM13" s="20">
        <f>IF(AJ13="","",(AH13^AJ13/(AH13^AJ13+AI13^AJ13)))</f>
        <v>0.48723313188144401</v>
      </c>
      <c r="AN13" s="21">
        <f>IF(OR(AG13="",AG13=0),"",IF(((M13/AG13)&gt;=F13),AK13,IF(OR(AM13=1,(AK13-(F13-M13/AG13)*League!$AA$8)&gt;=AK13),AK13,IF(OR(AM13=0,(AK13-(F13-M13/AG13)*League!$AA$8)&lt;=0),0,(AK13-(F13-M13/AG13)*League!$AA$8)))))</f>
        <v>9.8485234743488945</v>
      </c>
      <c r="AO13" s="21">
        <f>IF(OR(AG13="",AG13=0),"",IF((M13/AG13)&gt;=F13,AL13,(M13/AG13-AN13)))</f>
        <v>10.712100174906645</v>
      </c>
      <c r="AP13" s="20">
        <f>IF(OR(AN13="",(AN13+AO13)=0),"",(AN13/(AN13+AO13)))</f>
        <v>0.47899925811372412</v>
      </c>
      <c r="AQ13" s="22">
        <f>IF(AN13="","",((C13-AN13)+(AO13-D13)))</f>
        <v>-2.1364232994422494</v>
      </c>
    </row>
    <row r="14" spans="1:47" x14ac:dyDescent="0.3">
      <c r="A14" s="15" t="s">
        <v>138</v>
      </c>
      <c r="B14" s="16" t="s">
        <v>97</v>
      </c>
      <c r="C14" s="16">
        <v>11</v>
      </c>
      <c r="D14" s="16">
        <v>15</v>
      </c>
      <c r="E14" s="17">
        <f>IF(OR(M14="",M14=0),"",(R14/M14*9))</f>
        <v>4.36909090909091</v>
      </c>
      <c r="F14" s="16">
        <v>32</v>
      </c>
      <c r="G14" s="16">
        <v>32</v>
      </c>
      <c r="H14" s="16">
        <v>2</v>
      </c>
      <c r="I14" s="16">
        <v>1</v>
      </c>
      <c r="J14" s="16">
        <v>0</v>
      </c>
      <c r="K14" s="16">
        <v>0</v>
      </c>
      <c r="L14" s="16">
        <v>0</v>
      </c>
      <c r="M14" s="18">
        <f>IF(N14="","",(INT(N14)+(N14-INT(N14))*10/3))</f>
        <v>183.33333333333331</v>
      </c>
      <c r="N14" s="16">
        <v>183.1</v>
      </c>
      <c r="O14" s="16">
        <v>802</v>
      </c>
      <c r="P14" s="16">
        <v>187</v>
      </c>
      <c r="Q14" s="16">
        <v>107</v>
      </c>
      <c r="R14" s="16">
        <v>89</v>
      </c>
      <c r="S14" s="16">
        <v>19</v>
      </c>
      <c r="T14" s="16">
        <v>73</v>
      </c>
      <c r="U14" s="16">
        <v>3</v>
      </c>
      <c r="V14" s="16">
        <v>7</v>
      </c>
      <c r="W14" s="16">
        <v>12</v>
      </c>
      <c r="X14" s="16">
        <v>0</v>
      </c>
      <c r="Y14" s="16">
        <v>129</v>
      </c>
      <c r="Z14" s="17">
        <f>IF(OR(M14="",M14=0),"",((13*S14+3*(T14+V14)-2*Y14)/M14+League!$Y$2))</f>
        <v>4.2969452157494308</v>
      </c>
      <c r="AA14" s="16">
        <f>VLOOKUP(B14,BPF!$A$2:$B$31,2,FALSE)</f>
        <v>101</v>
      </c>
      <c r="AB14" s="19">
        <f>IF(OR(E14="",E14=0),"",(E14/(League!$E$6*AA14/100)*100))</f>
        <v>115.71215964571667</v>
      </c>
      <c r="AC14" s="19">
        <f>IF(OR(Z14="",Z14=0),"",(Z14/(League!$Y$6*AA14/100)*100))</f>
        <v>112.97497179605176</v>
      </c>
      <c r="AD14" s="20">
        <f>IF(OR((C14+D14)="",(C14+D14)=0),"",(C14/(C14+D14)))</f>
        <v>0.42307692307692307</v>
      </c>
      <c r="AE14" s="17">
        <f>IF(OR(F14="",F14=0),"",(M14/F14))</f>
        <v>5.7291666666666661</v>
      </c>
      <c r="AF14" s="17">
        <f>IF(OR(AA14="",AA14=0,League!$Q$7="",League!$Q$7=0),"",(Z14*100/AA14*(League!$P$7/League!$Q$7)))</f>
        <v>4.611983521337323</v>
      </c>
      <c r="AG14" s="34">
        <f>(1.19*AE14-0.056*AF14+1.71)*League!$AB$7</f>
        <v>8.4253988823574382</v>
      </c>
      <c r="AH14" s="17">
        <f>IF(OR(League!$Q$6="",League!$Q$6=0),"",(League!$Y$6*(League!$P$6/League!$Q$6)))</f>
        <v>4.0745235060076688</v>
      </c>
      <c r="AI14" s="17">
        <f>IF(OR(League!$Q$7="",League!$Q$7=0,AA14="",AA14=0,F14="",F14=0,League!$G$6="",League!$G$6=0,League!$Q$8="",League!$Q$8=0),"",((Z14/(AA14/100)/9*(League!$P$7/League!$Q$7)*(M14/F14)+(League!$M$6/League!$G$6-M14/F14)*(League!$Y$8/9*League!$P$8/League!$Q$8))/(League!$M$6/League!$G$6)*9))</f>
        <v>4.3687511957059009</v>
      </c>
      <c r="AJ14" s="17">
        <f>IF(AH14="","",((AH14+AI14)^0.287))</f>
        <v>1.8446273086417144</v>
      </c>
      <c r="AK14" s="21">
        <f>IF(AM14="","",(AM14*F14))</f>
        <v>14.97250658284567</v>
      </c>
      <c r="AL14" s="21">
        <f>IF(AK14="","",(F14-AK14))</f>
        <v>17.027493417154332</v>
      </c>
      <c r="AM14" s="20">
        <f>IF(AJ14="","",(AH14^AJ14/(AH14^AJ14+AI14^AJ14)))</f>
        <v>0.46789083071392717</v>
      </c>
      <c r="AN14" s="21">
        <f>IF(OR(AG14="",AG14=0),"",IF(((M14/AG14)&gt;=F14),AK14,IF(OR(AM14=1,(AK14-(F14-M14/AG14)*League!$AA$8)&gt;=AK14),AK14,IF(OR(AM14=0,(AK14-(F14-M14/AG14)*League!$AA$8)&lt;=0),0,(AK14-(F14-M14/AG14)*League!$AA$8)))))</f>
        <v>9.7993860467825904</v>
      </c>
      <c r="AO14" s="21">
        <f>IF(OR(AG14="",AG14=0),"",IF((M14/AG14)&gt;=F14,AL14,(M14/AG14-AN14)))</f>
        <v>11.960216779527325</v>
      </c>
      <c r="AP14" s="20">
        <f>IF(OR(AN14="",(AN14+AO14)=0),"",(AN14/(AN14+AO14)))</f>
        <v>0.4503476522528243</v>
      </c>
      <c r="AQ14" s="22">
        <f>IF(AN14="","",((C14-AN14)+(AO14-D14)))</f>
        <v>-1.8391692672552651</v>
      </c>
    </row>
    <row r="15" spans="1:47" x14ac:dyDescent="0.3">
      <c r="A15" s="52" t="s">
        <v>105</v>
      </c>
      <c r="B15" s="16" t="s">
        <v>96</v>
      </c>
      <c r="C15" s="16">
        <v>16</v>
      </c>
      <c r="D15" s="16">
        <v>9</v>
      </c>
      <c r="E15" s="42">
        <f>IF(OR(M15="",M15=0),"",(R15/M15*9))</f>
        <v>1.8305084745762712</v>
      </c>
      <c r="F15" s="16">
        <v>33</v>
      </c>
      <c r="G15" s="16">
        <v>33</v>
      </c>
      <c r="H15" s="16">
        <v>3</v>
      </c>
      <c r="I15" s="43">
        <v>2</v>
      </c>
      <c r="J15" s="16">
        <v>0</v>
      </c>
      <c r="K15" s="16">
        <v>0</v>
      </c>
      <c r="L15" s="16">
        <v>0</v>
      </c>
      <c r="M15" s="18">
        <f>IF(N15="","",(INT(N15)+(N15-INT(N15))*10/3))</f>
        <v>236</v>
      </c>
      <c r="N15" s="16">
        <v>236</v>
      </c>
      <c r="O15" s="16">
        <v>908</v>
      </c>
      <c r="P15" s="16">
        <v>164</v>
      </c>
      <c r="Q15" s="16">
        <v>55</v>
      </c>
      <c r="R15" s="16">
        <v>48</v>
      </c>
      <c r="S15" s="16">
        <v>11</v>
      </c>
      <c r="T15" s="16">
        <v>52</v>
      </c>
      <c r="U15" s="16">
        <v>2</v>
      </c>
      <c r="V15" s="16">
        <v>3</v>
      </c>
      <c r="W15" s="16">
        <v>12</v>
      </c>
      <c r="X15" s="16">
        <v>2</v>
      </c>
      <c r="Y15" s="43">
        <v>232</v>
      </c>
      <c r="Z15" s="17">
        <f>IF(OR(M15="",M15=0),"",((13*S15+3*(T15+V15)-2*Y15)/M15+League!$Y$2))</f>
        <v>2.3868373575059789</v>
      </c>
      <c r="AA15" s="16">
        <f>VLOOKUP(B15,BPF!$A$2:$B$31,2,FALSE)</f>
        <v>95</v>
      </c>
      <c r="AB15" s="47">
        <f>IF(OR(E15="",E15=0),"",(E15/(League!$E$6*AA15/100)*100))</f>
        <v>51.541544714847774</v>
      </c>
      <c r="AC15" s="19">
        <f>IF(OR(Z15="",Z15=0),"",(Z15/(League!$Y$6*AA15/100)*100))</f>
        <v>66.71800015146836</v>
      </c>
      <c r="AD15" s="20">
        <f>IF(OR((C15+D15)="",(C15+D15)=0),"",(C15/(C15+D15)))</f>
        <v>0.64</v>
      </c>
      <c r="AE15" s="17">
        <f>IF(OR(F15="",F15=0),"",(M15/F15))</f>
        <v>7.1515151515151514</v>
      </c>
      <c r="AF15" s="17">
        <f>IF(OR(AA15="",AA15=0,League!$Q$7="",League!$Q$7=0),"",(Z15*100/AA15*(League!$P$7/League!$Q$7)))</f>
        <v>2.7236326098016934</v>
      </c>
      <c r="AG15" s="34">
        <f>(1.19*AE15-0.056*AF15+1.71)*League!$AB$7</f>
        <v>10.257657975661553</v>
      </c>
      <c r="AH15" s="17">
        <f>IF(OR(League!$Q$6="",League!$Q$6=0),"",(League!$Y$6*(League!$P$6/League!$Q$6)))</f>
        <v>4.0745235060076688</v>
      </c>
      <c r="AI15" s="17">
        <f>IF(OR(League!$Q$7="",League!$Q$7=0,AA15="",AA15=0,F15="",F15=0,League!$G$6="",League!$G$6=0,League!$Q$8="",League!$Q$8=0),"",((Z15/(AA15/100)/9*(League!$P$7/League!$Q$7)*(M15/F15)+(League!$M$6/League!$G$6-M15/F15)*(League!$Y$8/9*League!$P$8/League!$Q$8))/(League!$M$6/League!$G$6)*9))</f>
        <v>2.9727606801784519</v>
      </c>
      <c r="AJ15" s="17">
        <f>IF(AH15="","",((AH15+AI15)^0.287))</f>
        <v>1.7513875265046728</v>
      </c>
      <c r="AK15" s="21">
        <f>IF(AM15="","",(AM15*F15))</f>
        <v>20.942909846677814</v>
      </c>
      <c r="AL15" s="21">
        <f>IF(AK15="","",(F15-AK15))</f>
        <v>12.057090153322186</v>
      </c>
      <c r="AM15" s="20">
        <f>IF(AJ15="","",(AH15^AJ15/(AH15^AJ15+AI15^AJ15)))</f>
        <v>0.63463363171750953</v>
      </c>
      <c r="AN15" s="21">
        <f>IF(OR(AG15="",AG15=0),"",IF(((M15/AG15)&gt;=F15),AK15,IF(OR(AM15=1,(AK15-(F15-M15/AG15)*League!$AA$8)&gt;=AK15),AK15,IF(OR(AM15=0,(AK15-(F15-M15/AG15)*League!$AA$8)&lt;=0),0,(AK15-(F15-M15/AG15)*League!$AA$8)))))</f>
        <v>15.894868031943876</v>
      </c>
      <c r="AO15" s="21">
        <f>IF(OR(AG15="",AG15=0),"",IF((M15/AG15)&gt;=F15,AL15,(M15/AG15-AN15)))</f>
        <v>7.1123330816007098</v>
      </c>
      <c r="AP15" s="20">
        <f>IF(OR(AN15="",(AN15+AO15)=0),"",(AN15/(AN15+AO15)))</f>
        <v>0.69086491457608878</v>
      </c>
      <c r="AQ15" s="22">
        <f>IF(AN15="","",((C15-AN15)+(AO15-D15)))</f>
        <v>-1.782534950343166</v>
      </c>
    </row>
    <row r="16" spans="1:47" x14ac:dyDescent="0.3">
      <c r="A16" s="15" t="s">
        <v>147</v>
      </c>
      <c r="B16" s="16" t="s">
        <v>103</v>
      </c>
      <c r="C16" s="16">
        <v>10</v>
      </c>
      <c r="D16" s="16">
        <v>9</v>
      </c>
      <c r="E16" s="17">
        <f>IF(OR(M16="",M16=0),"",(R16/M16*9))</f>
        <v>3.0422535211267614</v>
      </c>
      <c r="F16" s="16">
        <v>26</v>
      </c>
      <c r="G16" s="16">
        <v>26</v>
      </c>
      <c r="H16" s="16">
        <v>1</v>
      </c>
      <c r="I16" s="16">
        <v>1</v>
      </c>
      <c r="J16" s="16">
        <v>0</v>
      </c>
      <c r="K16" s="16">
        <v>0</v>
      </c>
      <c r="L16" s="16">
        <v>0</v>
      </c>
      <c r="M16" s="18">
        <f>IF(N16="","",(INT(N16)+(N16-INT(N16))*10/3))</f>
        <v>165.66666666666663</v>
      </c>
      <c r="N16" s="16">
        <v>165.2</v>
      </c>
      <c r="O16" s="16">
        <v>668</v>
      </c>
      <c r="P16" s="16">
        <v>144</v>
      </c>
      <c r="Q16" s="16">
        <v>64</v>
      </c>
      <c r="R16" s="16">
        <v>56</v>
      </c>
      <c r="S16" s="16">
        <v>11</v>
      </c>
      <c r="T16" s="16">
        <v>41</v>
      </c>
      <c r="U16" s="16">
        <v>3</v>
      </c>
      <c r="V16" s="16">
        <v>4</v>
      </c>
      <c r="W16" s="16">
        <v>5</v>
      </c>
      <c r="X16" s="16">
        <v>0</v>
      </c>
      <c r="Y16" s="16">
        <v>119</v>
      </c>
      <c r="Z16" s="17">
        <f>IF(OR(M16="",M16=0),"",((13*S16+3*(T16+V16)-2*Y16)/M16+League!$Y$2))</f>
        <v>3.2893029988114391</v>
      </c>
      <c r="AA16" s="16">
        <f>VLOOKUP(B16,BPF!$A$2:$B$31,2,FALSE)</f>
        <v>95</v>
      </c>
      <c r="AB16" s="19">
        <f>IF(OR(E16="",E16=0),"",(E16/(League!$E$6*AA16/100)*100))</f>
        <v>85.66059544157801</v>
      </c>
      <c r="AC16" s="19">
        <f>IF(OR(Z16="",Z16=0),"",(Z16/(League!$Y$6*AA16/100)*100))</f>
        <v>91.944144113044032</v>
      </c>
      <c r="AD16" s="20">
        <f>IF(OR((C16+D16)="",(C16+D16)=0),"",(C16/(C16+D16)))</f>
        <v>0.52631578947368418</v>
      </c>
      <c r="AE16" s="17">
        <f>IF(OR(F16="",F16=0),"",(M16/F16))</f>
        <v>6.3717948717948705</v>
      </c>
      <c r="AF16" s="17">
        <f>IF(OR(AA16="",AA16=0,League!$Q$7="",League!$Q$7=0),"",(Z16*100/AA16*(League!$P$7/League!$Q$7)))</f>
        <v>3.7534408797935428</v>
      </c>
      <c r="AG16" s="34">
        <f>(1.19*AE16-0.056*AF16+1.71)*League!$AB$7</f>
        <v>9.2535343585308976</v>
      </c>
      <c r="AH16" s="17">
        <f>IF(OR(League!$Q$6="",League!$Q$6=0),"",(League!$Y$6*(League!$P$6/League!$Q$6)))</f>
        <v>4.0745235060076688</v>
      </c>
      <c r="AI16" s="17">
        <f>IF(OR(League!$Q$7="",League!$Q$7=0,AA16="",AA16=0,F16="",F16=0,League!$G$6="",League!$G$6=0,League!$Q$8="",League!$Q$8=0),"",((Z16/(AA16/100)/9*(League!$P$7/League!$Q$7)*(M16/F16)+(League!$M$6/League!$G$6-M16/F16)*(League!$Y$8/9*League!$P$8/League!$Q$8))/(League!$M$6/League!$G$6)*9))</f>
        <v>3.8082170423116497</v>
      </c>
      <c r="AJ16" s="17">
        <f>IF(AH16="","",((AH16+AI16)^0.287))</f>
        <v>1.8086159883120221</v>
      </c>
      <c r="AK16" s="21">
        <f>IF(AM16="","",(AM16*F16))</f>
        <v>13.793631864422608</v>
      </c>
      <c r="AL16" s="21">
        <f>IF(AK16="","",(F16-AK16))</f>
        <v>12.206368135577392</v>
      </c>
      <c r="AM16" s="20">
        <f>IF(AJ16="","",(AH16^AJ16/(AH16^AJ16+AI16^AJ16)))</f>
        <v>0.53052430247779259</v>
      </c>
      <c r="AN16" s="21">
        <f>IF(OR(AG16="",AG16=0),"",IF(((M16/AG16)&gt;=F16),AK16,IF(OR(AM16=1,(AK16-(F16-M16/AG16)*League!$AA$8)&gt;=AK16),AK16,IF(OR(AM16=0,(AK16-(F16-M16/AG16)*League!$AA$8)&lt;=0),0,(AK16-(F16-M16/AG16)*League!$AA$8)))))</f>
        <v>9.7033218990908967</v>
      </c>
      <c r="AO16" s="21">
        <f>IF(OR(AG16="",AG16=0),"",IF((M16/AG16)&gt;=F16,AL16,(M16/AG16-AN16)))</f>
        <v>8.1997473766974824</v>
      </c>
      <c r="AP16" s="20">
        <f>IF(OR(AN16="",(AN16+AO16)=0),"",(AN16/(AN16+AO16)))</f>
        <v>0.54199208803897125</v>
      </c>
      <c r="AQ16" s="22">
        <f>IF(AN16="","",((C16-AN16)+(AO16-D16)))</f>
        <v>-0.50357452239341427</v>
      </c>
    </row>
    <row r="17" spans="1:43" x14ac:dyDescent="0.3">
      <c r="A17" s="15" t="s">
        <v>123</v>
      </c>
      <c r="B17" s="16" t="s">
        <v>94</v>
      </c>
      <c r="C17" s="16">
        <v>14</v>
      </c>
      <c r="D17" s="16">
        <v>10</v>
      </c>
      <c r="E17" s="17">
        <f>IF(OR(M17="",M17=0),"",(R17/M17*9))</f>
        <v>3.4662162162162167</v>
      </c>
      <c r="F17" s="16">
        <v>31</v>
      </c>
      <c r="G17" s="16">
        <v>31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8">
        <f>IF(N17="","",(INT(N17)+(N17-INT(N17))*10/3))</f>
        <v>197.33333333333331</v>
      </c>
      <c r="N17" s="16">
        <v>197.1</v>
      </c>
      <c r="O17" s="16">
        <v>816</v>
      </c>
      <c r="P17" s="16">
        <v>188</v>
      </c>
      <c r="Q17" s="16">
        <v>82</v>
      </c>
      <c r="R17" s="16">
        <v>76</v>
      </c>
      <c r="S17" s="16">
        <v>11</v>
      </c>
      <c r="T17" s="16">
        <v>61</v>
      </c>
      <c r="U17" s="16">
        <v>3</v>
      </c>
      <c r="V17" s="16">
        <v>3</v>
      </c>
      <c r="W17" s="16">
        <v>5</v>
      </c>
      <c r="X17" s="16">
        <v>1</v>
      </c>
      <c r="Y17" s="16">
        <v>126</v>
      </c>
      <c r="Z17" s="17">
        <f>IF(OR(M17="",M17=0),"",((13*S17+3*(T17+V17)-2*Y17)/M17+League!$Y$2))</f>
        <v>3.4684624147666296</v>
      </c>
      <c r="AA17" s="16">
        <f>VLOOKUP(B17,BPF!$A$2:$B$31,2,FALSE)</f>
        <v>115</v>
      </c>
      <c r="AB17" s="19">
        <f>IF(OR(E17="",E17=0),"",(E17/(League!$E$6*AA17/100)*100))</f>
        <v>80.624512403168538</v>
      </c>
      <c r="AC17" s="19">
        <f>IF(OR(Z17="",Z17=0),"",(Z17/(League!$Y$6*AA17/100)*100))</f>
        <v>80.090858899353321</v>
      </c>
      <c r="AD17" s="20">
        <f>IF(OR((C17+D17)="",(C17+D17)=0),"",(C17/(C17+D17)))</f>
        <v>0.58333333333333337</v>
      </c>
      <c r="AE17" s="17">
        <f>IF(OR(F17="",F17=0),"",(M17/F17))</f>
        <v>6.365591397849462</v>
      </c>
      <c r="AF17" s="17">
        <f>IF(OR(AA17="",AA17=0,League!$Q$7="",League!$Q$7=0),"",(Z17*100/AA17*(League!$P$7/League!$Q$7)))</f>
        <v>3.2695535620083178</v>
      </c>
      <c r="AG17" s="34">
        <f>(1.19*AE17-0.056*AF17+1.71)*League!$AB$7</f>
        <v>9.2736217498085747</v>
      </c>
      <c r="AH17" s="17">
        <f>IF(OR(League!$Q$6="",League!$Q$6=0),"",(League!$Y$6*(League!$P$6/League!$Q$6)))</f>
        <v>4.0745235060076688</v>
      </c>
      <c r="AI17" s="17">
        <f>IF(OR(League!$Q$7="",League!$Q$7=0,AA17="",AA17=0,F17="",F17=0,League!$G$6="",League!$G$6=0,League!$Q$8="",League!$Q$8=0),"",((Z17/(AA17/100)/9*(League!$P$7/League!$Q$7)*(M17/F17)+(League!$M$6/League!$G$6-M17/F17)*(League!$Y$8/9*League!$P$8/League!$Q$8))/(League!$M$6/League!$G$6)*9))</f>
        <v>3.4657440498131322</v>
      </c>
      <c r="AJ17" s="17">
        <f>IF(AH17="","",((AH17+AI17)^0.287))</f>
        <v>1.7857061695898608</v>
      </c>
      <c r="AK17" s="21">
        <f>IF(AM17="","",(AM17*F17))</f>
        <v>17.724096851552684</v>
      </c>
      <c r="AL17" s="21">
        <f>IF(AK17="","",(F17-AK17))</f>
        <v>13.275903148447316</v>
      </c>
      <c r="AM17" s="20">
        <f>IF(AJ17="","",(AH17^AJ17/(AH17^AJ17+AI17^AJ17)))</f>
        <v>0.57174505972750589</v>
      </c>
      <c r="AN17" s="21">
        <f>IF(OR(AG17="",AG17=0),"",IF(((M17/AG17)&gt;=F17),AK17,IF(OR(AM17=1,(AK17-(F17-M17/AG17)*League!$AA$8)&gt;=AK17),AK17,IF(OR(AM17=0,(AK17-(F17-M17/AG17)*League!$AA$8)&lt;=0),0,(AK17-(F17-M17/AG17)*League!$AA$8)))))</f>
        <v>12.813355645632249</v>
      </c>
      <c r="AO17" s="21">
        <f>IF(OR(AG17="",AG17=0),"",IF((M17/AG17)&gt;=F17,AL17,(M17/AG17-AN17)))</f>
        <v>8.4656374659216738</v>
      </c>
      <c r="AP17" s="20">
        <f>IF(OR(AN17="",(AN17+AO17)=0),"",(AN17/(AN17+AO17)))</f>
        <v>0.60215986623328244</v>
      </c>
      <c r="AQ17" s="22">
        <f>IF(AN17="","",((C17-AN17)+(AO17-D17)))</f>
        <v>-0.34771817971057573</v>
      </c>
    </row>
    <row r="18" spans="1:43" x14ac:dyDescent="0.3">
      <c r="A18" s="15" t="s">
        <v>122</v>
      </c>
      <c r="B18" s="16" t="s">
        <v>100</v>
      </c>
      <c r="C18" s="16">
        <v>14</v>
      </c>
      <c r="D18" s="16">
        <v>8</v>
      </c>
      <c r="E18" s="17">
        <f>IF(OR(M18="",M18=0),"",(R18/M18*9))</f>
        <v>2.8697604790419167</v>
      </c>
      <c r="F18" s="16">
        <v>31</v>
      </c>
      <c r="G18" s="16">
        <v>31</v>
      </c>
      <c r="H18" s="16">
        <v>2</v>
      </c>
      <c r="I18" s="16">
        <v>1</v>
      </c>
      <c r="J18" s="16">
        <v>0</v>
      </c>
      <c r="K18" s="16">
        <v>0</v>
      </c>
      <c r="L18" s="16">
        <v>0</v>
      </c>
      <c r="M18" s="18">
        <f>IF(N18="","",(INT(N18)+(N18-INT(N18))*10/3))</f>
        <v>222.66666666666663</v>
      </c>
      <c r="N18" s="16">
        <v>222.2</v>
      </c>
      <c r="O18" s="16">
        <v>876</v>
      </c>
      <c r="P18" s="16">
        <v>193</v>
      </c>
      <c r="Q18" s="16">
        <v>77</v>
      </c>
      <c r="R18" s="16">
        <v>71</v>
      </c>
      <c r="S18" s="16">
        <v>22</v>
      </c>
      <c r="T18" s="16">
        <v>32</v>
      </c>
      <c r="U18" s="16">
        <v>0</v>
      </c>
      <c r="V18" s="16">
        <v>4</v>
      </c>
      <c r="W18" s="16">
        <v>1</v>
      </c>
      <c r="X18" s="16">
        <v>0</v>
      </c>
      <c r="Y18" s="16">
        <v>222</v>
      </c>
      <c r="Z18" s="17">
        <f>IF(OR(M18="",M18=0),"",((13*S18+3*(T18+V18)-2*Y18)/M18+League!$Y$2))</f>
        <v>2.8233034084549287</v>
      </c>
      <c r="AA18" s="16">
        <f>VLOOKUP(B18,BPF!$A$2:$B$31,2,FALSE)</f>
        <v>101</v>
      </c>
      <c r="AB18" s="19">
        <f>IF(OR(E18="",E18=0),"",(E18/(League!$E$6*AA18/100)*100))</f>
        <v>76.003495831346896</v>
      </c>
      <c r="AC18" s="19">
        <f>IF(OR(Z18="",Z18=0),"",(Z18/(League!$Y$6*AA18/100)*100))</f>
        <v>74.230088336432772</v>
      </c>
      <c r="AD18" s="20">
        <f>IF(OR((C18+D18)="",(C18+D18)=0),"",(C18/(C18+D18)))</f>
        <v>0.63636363636363635</v>
      </c>
      <c r="AE18" s="17">
        <f>IF(OR(F18="",F18=0),"",(M18/F18))</f>
        <v>7.1827956989247301</v>
      </c>
      <c r="AF18" s="17">
        <f>IF(OR(AA18="",AA18=0,League!$Q$7="",League!$Q$7=0),"",(Z18*100/AA18*(League!$P$7/League!$Q$7)))</f>
        <v>3.0302990012076823</v>
      </c>
      <c r="AG18" s="34">
        <f>(1.19*AE18-0.056*AF18+1.71)*League!$AB$7</f>
        <v>10.278086662317939</v>
      </c>
      <c r="AH18" s="17">
        <f>IF(OR(League!$Q$6="",League!$Q$6=0),"",(League!$Y$6*(League!$P$6/League!$Q$6)))</f>
        <v>4.0745235060076688</v>
      </c>
      <c r="AI18" s="17">
        <f>IF(OR(League!$Q$7="",League!$Q$7=0,AA18="",AA18=0,F18="",F18=0,League!$G$6="",League!$G$6=0,League!$Q$8="",League!$Q$8=0),"",((Z18/(AA18/100)/9*(League!$P$7/League!$Q$7)*(M18/F18)+(League!$M$6/League!$G$6-M18/F18)*(League!$Y$8/9*League!$P$8/League!$Q$8))/(League!$M$6/League!$G$6)*9))</f>
        <v>3.2135243061677756</v>
      </c>
      <c r="AJ18" s="17">
        <f>IF(AH18="","",((AH18+AI18)^0.287))</f>
        <v>1.7683548511416944</v>
      </c>
      <c r="AK18" s="21">
        <f>IF(AM18="","",(AM18*F18))</f>
        <v>18.706362876651419</v>
      </c>
      <c r="AL18" s="21">
        <f>IF(AK18="","",(F18-AK18))</f>
        <v>12.293637123348581</v>
      </c>
      <c r="AM18" s="20">
        <f>IF(AJ18="","",(AH18^AJ18/(AH18^AJ18+AI18^AJ18)))</f>
        <v>0.60343106053714257</v>
      </c>
      <c r="AN18" s="21">
        <f>IF(OR(AG18="",AG18=0),"",IF(((M18/AG18)&gt;=F18),AK18,IF(OR(AM18=1,(AK18-(F18-M18/AG18)*League!$AA$8)&gt;=AK18),AK18,IF(OR(AM18=0,(AK18-(F18-M18/AG18)*League!$AA$8)&lt;=0),0,(AK18-(F18-M18/AG18)*League!$AA$8)))))</f>
        <v>13.990222807714204</v>
      </c>
      <c r="AO18" s="21">
        <f>IF(OR(AG18="",AG18=0),"",IF((M18/AG18)&gt;=F18,AL18,(M18/AG18-AN18)))</f>
        <v>7.6739909688653256</v>
      </c>
      <c r="AP18" s="20">
        <f>IF(OR(AN18="",(AN18+AO18)=0),"",(AN18/(AN18+AO18)))</f>
        <v>0.64577569959351933</v>
      </c>
      <c r="AQ18" s="22">
        <f>IF(AN18="","",((C18-AN18)+(AO18-D18)))</f>
        <v>-0.31623183884887851</v>
      </c>
    </row>
    <row r="19" spans="1:43" x14ac:dyDescent="0.3">
      <c r="A19" s="15" t="s">
        <v>129</v>
      </c>
      <c r="B19" s="16" t="s">
        <v>55</v>
      </c>
      <c r="C19" s="16">
        <v>13</v>
      </c>
      <c r="D19" s="16">
        <v>11</v>
      </c>
      <c r="E19" s="17">
        <f>IF(OR(M19="",M19=0),"",(R19/M19*9))</f>
        <v>3.7210084033613446</v>
      </c>
      <c r="F19" s="16">
        <v>33</v>
      </c>
      <c r="G19" s="16">
        <v>33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8">
        <f>IF(N19="","",(INT(N19)+(N19-INT(N19))*10/3))</f>
        <v>198.33333333333331</v>
      </c>
      <c r="N19" s="16">
        <v>198.1</v>
      </c>
      <c r="O19" s="16">
        <v>831</v>
      </c>
      <c r="P19" s="16">
        <v>194</v>
      </c>
      <c r="Q19" s="16">
        <v>90</v>
      </c>
      <c r="R19" s="16">
        <v>82</v>
      </c>
      <c r="S19" s="16">
        <v>17</v>
      </c>
      <c r="T19" s="16">
        <v>46</v>
      </c>
      <c r="U19" s="16">
        <v>1</v>
      </c>
      <c r="V19" s="16">
        <v>10</v>
      </c>
      <c r="W19" s="16">
        <v>5</v>
      </c>
      <c r="X19" s="16">
        <v>0</v>
      </c>
      <c r="Y19" s="16">
        <v>164</v>
      </c>
      <c r="Z19" s="17">
        <f>IF(OR(M19="",M19=0),"",((13*S19+3*(T19+V19)-2*Y19)/M19+League!$Y$2))</f>
        <v>3.3554173318686056</v>
      </c>
      <c r="AA19" s="23">
        <f>337/(M19*3)*BPF!B21+86/M19*BPF!B23</f>
        <v>98.398319327731087</v>
      </c>
      <c r="AB19" s="19">
        <f>IF(OR(E19="",E19=0),"",(E19/(League!$E$6*AA19/100)*100))</f>
        <v>101.15381388624176</v>
      </c>
      <c r="AC19" s="19">
        <f>IF(OR(Z19="",Z19=0),"",(Z19/(League!$Y$6*AA19/100)*100))</f>
        <v>90.552962180290805</v>
      </c>
      <c r="AD19" s="20">
        <f>IF(OR((C19+D19)="",(C19+D19)=0),"",(C19/(C19+D19)))</f>
        <v>0.54166666666666663</v>
      </c>
      <c r="AE19" s="17">
        <f>IF(OR(F19="",F19=0),"",(M19/F19))</f>
        <v>6.0101010101010095</v>
      </c>
      <c r="AF19" s="17">
        <f>IF(OR(AA19="",AA19=0,League!$Q$7="",League!$Q$7=0),"",(Z19*100/AA19*(League!$P$7/League!$Q$7)))</f>
        <v>3.6966485828180424</v>
      </c>
      <c r="AG19" s="34">
        <f>(1.19*AE19-0.056*AF19+1.71)*League!$AB$7</f>
        <v>8.8182413714383951</v>
      </c>
      <c r="AH19" s="17">
        <f>IF(OR(League!$Q$6="",League!$Q$6=0),"",(League!$Y$6*(League!$P$6/League!$Q$6)))</f>
        <v>4.0745235060076688</v>
      </c>
      <c r="AI19" s="17">
        <f>IF(OR(League!$Q$7="",League!$Q$7=0,AA19="",AA19=0,F19="",F19=0,League!$G$6="",League!$G$6=0,League!$Q$8="",League!$Q$8=0),"",((Z19/(AA19/100)/9*(League!$P$7/League!$Q$7)*(M19/F19)+(League!$M$6/League!$G$6-M19/F19)*(League!$Y$8/9*League!$P$8/League!$Q$8))/(League!$M$6/League!$G$6)*9))</f>
        <v>3.7778175743438061</v>
      </c>
      <c r="AJ19" s="17">
        <f>IF(AH19="","",((AH19+AI19)^0.287))</f>
        <v>1.80661144705435</v>
      </c>
      <c r="AK19" s="21">
        <f>IF(AM19="","",(AM19*F19))</f>
        <v>17.625143932068944</v>
      </c>
      <c r="AL19" s="21">
        <f>IF(AK19="","",(F19-AK19))</f>
        <v>15.374856067931056</v>
      </c>
      <c r="AM19" s="20">
        <f>IF(AJ19="","",(AH19^AJ19/(AH19^AJ19+AI19^AJ19)))</f>
        <v>0.53409527066875584</v>
      </c>
      <c r="AN19" s="21">
        <f>IF(OR(AG19="",AG19=0),"",IF(((M19/AG19)&gt;=F19),AK19,IF(OR(AM19=1,(AK19-(F19-M19/AG19)*League!$AA$8)&gt;=AK19),AK19,IF(OR(AM19=0,(AK19-(F19-M19/AG19)*League!$AA$8)&lt;=0),0,(AK19-(F19-M19/AG19)*League!$AA$8)))))</f>
        <v>12.316463703354186</v>
      </c>
      <c r="AO19" s="21">
        <f>IF(OR(AG19="",AG19=0),"",IF((M19/AG19)&gt;=F19,AL19,(M19/AG19-AN19)))</f>
        <v>10.174793337502022</v>
      </c>
      <c r="AP19" s="20">
        <f>IF(OR(AN19="",(AN19+AO19)=0),"",(AN19/(AN19+AO19)))</f>
        <v>0.54761117535497772</v>
      </c>
      <c r="AQ19" s="22">
        <f>IF(AN19="","",((C19-AN19)+(AO19-D19)))</f>
        <v>-0.14167036585216408</v>
      </c>
    </row>
    <row r="20" spans="1:43" x14ac:dyDescent="0.3">
      <c r="A20" s="15" t="s">
        <v>145</v>
      </c>
      <c r="B20" s="16" t="s">
        <v>55</v>
      </c>
      <c r="C20" s="16">
        <v>9</v>
      </c>
      <c r="D20" s="16">
        <v>12</v>
      </c>
      <c r="E20" s="17">
        <f>IF(OR(M20="",M20=0),"",(R20/M20*9))</f>
        <v>5.7401574803149611</v>
      </c>
      <c r="F20" s="16">
        <v>32</v>
      </c>
      <c r="G20" s="16">
        <v>32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8">
        <f>IF(N20="","",(INT(N20)+(N20-INT(N20))*10/3))</f>
        <v>169.33333333333331</v>
      </c>
      <c r="N20" s="16">
        <v>169.1</v>
      </c>
      <c r="O20" s="16">
        <v>773</v>
      </c>
      <c r="P20" s="16">
        <v>192</v>
      </c>
      <c r="Q20" s="43">
        <v>114</v>
      </c>
      <c r="R20" s="43">
        <v>108</v>
      </c>
      <c r="S20" s="16">
        <v>19</v>
      </c>
      <c r="T20" s="16">
        <v>77</v>
      </c>
      <c r="U20" s="16">
        <v>2</v>
      </c>
      <c r="V20" s="16">
        <v>3</v>
      </c>
      <c r="W20" s="16">
        <v>16</v>
      </c>
      <c r="X20" s="16">
        <v>0</v>
      </c>
      <c r="Y20" s="16">
        <v>142</v>
      </c>
      <c r="Z20" s="17">
        <f>IF(OR(M20="",M20=0),"",((13*S20+3*(T20+V20)-2*Y20)/M20+League!$Y$2))</f>
        <v>4.2466732042963162</v>
      </c>
      <c r="AA20" s="23">
        <f>427/(M20*3)*BPF!B30+27/M20*BPF!B23</f>
        <v>95</v>
      </c>
      <c r="AB20" s="19">
        <f>IF(OR(E20="",E20=0),"",(E20/(League!$E$6*AA20/100)*100))</f>
        <v>161.62535576919785</v>
      </c>
      <c r="AC20" s="19">
        <f>IF(OR(Z20="",Z20=0),"",(Z20/(League!$Y$6*AA20/100)*100))</f>
        <v>118.7050062696903</v>
      </c>
      <c r="AD20" s="20">
        <f>IF(OR((C20+D20)="",(C20+D20)=0),"",(C20/(C20+D20)))</f>
        <v>0.42857142857142855</v>
      </c>
      <c r="AE20" s="17">
        <f>IF(OR(F20="",F20=0),"",(M20/F20))</f>
        <v>5.2916666666666661</v>
      </c>
      <c r="AF20" s="17">
        <f>IF(OR(AA20="",AA20=0,League!$Q$7="",League!$Q$7=0),"",(Z20*100/AA20*(League!$P$7/League!$Q$7)))</f>
        <v>4.8459010355352712</v>
      </c>
      <c r="AG20" s="34">
        <f>(1.19*AE20-0.056*AF20+1.71)*League!$AB$7</f>
        <v>7.8816084571867542</v>
      </c>
      <c r="AH20" s="17">
        <f>IF(OR(League!$Q$6="",League!$Q$6=0),"",(League!$Y$6*(League!$P$6/League!$Q$6)))</f>
        <v>4.0745235060076688</v>
      </c>
      <c r="AI20" s="17">
        <f>IF(OR(League!$Q$7="",League!$Q$7=0,AA20="",AA20=0,F20="",F20=0,League!$G$6="",League!$G$6=0,League!$Q$8="",League!$Q$8=0),"",((Z20/(AA20/100)/9*(League!$P$7/League!$Q$7)*(M20/F20)+(League!$M$6/League!$G$6-M20/F20)*(League!$Y$8/9*League!$P$8/League!$Q$8))/(League!$M$6/League!$G$6)*9))</f>
        <v>4.4738014156924928</v>
      </c>
      <c r="AJ20" s="17">
        <f>IF(AH20="","",((AH20+AI20)^0.287))</f>
        <v>1.8511851302324382</v>
      </c>
      <c r="AK20" s="21">
        <f>IF(AM20="","",(AM20*F20))</f>
        <v>14.618985529862083</v>
      </c>
      <c r="AL20" s="21">
        <f>IF(AK20="","",(F20-AK20))</f>
        <v>17.381014470137917</v>
      </c>
      <c r="AM20" s="20">
        <f>IF(AJ20="","",(AH20^AJ20/(AH20^AJ20+AI20^AJ20)))</f>
        <v>0.45684329780819011</v>
      </c>
      <c r="AN20" s="21">
        <f>IF(OR(AG20="",AG20=0),"",IF(((M20/AG20)&gt;=F20),AK20,IF(OR(AM20=1,(AK20-(F20-M20/AG20)*League!$AA$8)&gt;=AK20),AK20,IF(OR(AM20=0,(AK20-(F20-M20/AG20)*League!$AA$8)&lt;=0),0,(AK20-(F20-M20/AG20)*League!$AA$8)))))</f>
        <v>9.3069505990723052</v>
      </c>
      <c r="AO20" s="21">
        <f>IF(OR(AG20="",AG20=0),"",IF((M20/AG20)&gt;=F20,AL20,(M20/AG20-AN20)))</f>
        <v>12.177665676039492</v>
      </c>
      <c r="AP20" s="20">
        <f>IF(OR(AN20="",(AN20+AO20)=0),"",(AN20/(AN20+AO20)))</f>
        <v>0.43319138121417883</v>
      </c>
      <c r="AQ20" s="22">
        <f>IF(AN20="","",((C20-AN20)+(AO20-D20)))</f>
        <v>-0.12928492303281303</v>
      </c>
    </row>
    <row r="21" spans="1:43" x14ac:dyDescent="0.3">
      <c r="A21" s="15" t="s">
        <v>139</v>
      </c>
      <c r="B21" s="16" t="s">
        <v>104</v>
      </c>
      <c r="C21" s="16">
        <v>8</v>
      </c>
      <c r="D21" s="16">
        <v>10</v>
      </c>
      <c r="E21" s="17">
        <f>IF(OR(M21="",M21=0),"",(R21/M21*9))</f>
        <v>4.0036166365280295</v>
      </c>
      <c r="F21" s="16">
        <v>30</v>
      </c>
      <c r="G21" s="16">
        <v>30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8">
        <f>IF(N21="","",(INT(N21)+(N21-INT(N21))*10/3))</f>
        <v>184.33333333333331</v>
      </c>
      <c r="N21" s="16">
        <v>184.1</v>
      </c>
      <c r="O21" s="16">
        <v>760</v>
      </c>
      <c r="P21" s="16">
        <v>158</v>
      </c>
      <c r="Q21" s="16">
        <v>85</v>
      </c>
      <c r="R21" s="16">
        <v>82</v>
      </c>
      <c r="S21" s="16">
        <v>23</v>
      </c>
      <c r="T21" s="16">
        <v>55</v>
      </c>
      <c r="U21" s="16">
        <v>3</v>
      </c>
      <c r="V21" s="16">
        <v>5</v>
      </c>
      <c r="W21" s="16">
        <v>1</v>
      </c>
      <c r="X21" s="16">
        <v>0</v>
      </c>
      <c r="Y21" s="16">
        <v>158</v>
      </c>
      <c r="Z21" s="17">
        <f>IF(OR(M21="",M21=0),"",((13*S21+3*(T21+V21)-2*Y21)/M21+League!$Y$2))</f>
        <v>3.9321219377615955</v>
      </c>
      <c r="AA21" s="16">
        <f>VLOOKUP(B21,BPF!$A$2:$B$31,2,FALSE)</f>
        <v>94</v>
      </c>
      <c r="AB21" s="19">
        <f>IF(OR(E21="",E21=0),"",(E21/(League!$E$6*AA21/100)*100))</f>
        <v>113.92890503631637</v>
      </c>
      <c r="AC21" s="19">
        <f>IF(OR(Z21="",Z21=0),"",(Z21/(League!$Y$6*AA21/100)*100))</f>
        <v>111.08180350189407</v>
      </c>
      <c r="AD21" s="20">
        <f>IF(OR((C21+D21)="",(C21+D21)=0),"",(C21/(C21+D21)))</f>
        <v>0.44444444444444442</v>
      </c>
      <c r="AE21" s="17">
        <f>IF(OR(F21="",F21=0),"",(M21/F21))</f>
        <v>6.1444444444444439</v>
      </c>
      <c r="AF21" s="17">
        <f>IF(OR(AA21="",AA21=0,League!$Q$7="",League!$Q$7=0),"",(Z21*100/AA21*(League!$P$7/League!$Q$7)))</f>
        <v>4.5346986073695144</v>
      </c>
      <c r="AG21" s="34">
        <f>(1.19*AE21-0.056*AF21+1.71)*League!$AB$7</f>
        <v>8.9333092659930067</v>
      </c>
      <c r="AH21" s="17">
        <f>IF(OR(League!$Q$6="",League!$Q$6=0),"",(League!$Y$6*(League!$P$6/League!$Q$6)))</f>
        <v>4.0745235060076688</v>
      </c>
      <c r="AI21" s="17">
        <f>IF(OR(League!$Q$7="",League!$Q$7=0,AA21="",AA21=0,F21="",F21=0,League!$G$6="",League!$G$6=0,League!$Q$8="",League!$Q$8=0),"",((Z21/(AA21/100)/9*(League!$P$7/League!$Q$7)*(M21/F21)+(League!$M$6/League!$G$6-M21/F21)*(League!$Y$8/9*League!$P$8/League!$Q$8))/(League!$M$6/League!$G$6)*9))</f>
        <v>4.3469028495804833</v>
      </c>
      <c r="AJ21" s="17">
        <f>IF(AH21="","",((AH21+AI21)^0.287))</f>
        <v>1.8432561136325838</v>
      </c>
      <c r="AK21" s="21">
        <f>IF(AM21="","",(AM21*F21))</f>
        <v>14.106483655388647</v>
      </c>
      <c r="AL21" s="21">
        <f>IF(AK21="","",(F21-AK21))</f>
        <v>15.893516344611353</v>
      </c>
      <c r="AM21" s="20">
        <f>IF(AJ21="","",(AH21^AJ21/(AH21^AJ21+AI21^AJ21)))</f>
        <v>0.47021612184628825</v>
      </c>
      <c r="AN21" s="21">
        <f>IF(OR(AG21="",AG21=0),"",IF(((M21/AG21)&gt;=F21),AK21,IF(OR(AM21=1,(AK21-(F21-M21/AG21)*League!$AA$8)&gt;=AK21),AK21,IF(OR(AM21=0,(AK21-(F21-M21/AG21)*League!$AA$8)&lt;=0),0,(AK21-(F21-M21/AG21)*League!$AA$8)))))</f>
        <v>9.3752745135537854</v>
      </c>
      <c r="AO21" s="21">
        <f>IF(OR(AG21="",AG21=0),"",IF((M21/AG21)&gt;=F21,AL21,(M21/AG21-AN21)))</f>
        <v>11.259109435857512</v>
      </c>
      <c r="AP21" s="20">
        <f>IF(OR(AN21="",(AN21+AO21)=0),"",(AN21/(AN21+AO21)))</f>
        <v>0.45435204348910369</v>
      </c>
      <c r="AQ21" s="22">
        <f>IF(AN21="","",((C21-AN21)+(AO21-D21)))</f>
        <v>-0.11616507769627304</v>
      </c>
    </row>
    <row r="22" spans="1:43" x14ac:dyDescent="0.3">
      <c r="A22" s="15" t="s">
        <v>130</v>
      </c>
      <c r="B22" s="16" t="s">
        <v>90</v>
      </c>
      <c r="C22" s="16">
        <v>10</v>
      </c>
      <c r="D22" s="16">
        <v>10</v>
      </c>
      <c r="E22" s="17">
        <f>IF(OR(M22="",M22=0),"",(R22/M22*9))</f>
        <v>3.552631578947369</v>
      </c>
      <c r="F22" s="16">
        <v>33</v>
      </c>
      <c r="G22" s="16">
        <v>33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8">
        <f>IF(N22="","",(INT(N22)+(N22-INT(N22))*10/3))</f>
        <v>202.66666666666663</v>
      </c>
      <c r="N22" s="16">
        <v>202.2</v>
      </c>
      <c r="O22" s="16">
        <v>847</v>
      </c>
      <c r="P22" s="16">
        <v>201</v>
      </c>
      <c r="Q22" s="16">
        <v>88</v>
      </c>
      <c r="R22" s="16">
        <v>80</v>
      </c>
      <c r="S22" s="16">
        <v>21</v>
      </c>
      <c r="T22" s="16">
        <v>66</v>
      </c>
      <c r="U22" s="16">
        <v>4</v>
      </c>
      <c r="V22" s="16">
        <v>4</v>
      </c>
      <c r="W22" s="16">
        <v>13</v>
      </c>
      <c r="X22" s="16">
        <v>0</v>
      </c>
      <c r="Y22" s="16">
        <v>147</v>
      </c>
      <c r="Z22" s="17">
        <f>IF(OR(M22="",M22=0),"",((13*S22+3*(T22+V22)-2*Y22)/M22+League!$Y$2))</f>
        <v>3.9804200961322058</v>
      </c>
      <c r="AA22" s="16">
        <f>VLOOKUP(B22,BPF!$A$2:$B$31,2,FALSE)</f>
        <v>104</v>
      </c>
      <c r="AB22" s="19">
        <f>IF(OR(E22="",E22=0),"",(E22/(League!$E$6*AA22/100)*100))</f>
        <v>91.374733719231344</v>
      </c>
      <c r="AC22" s="19">
        <f>IF(OR(Z22="",Z22=0),"",(Z22/(League!$Y$6*AA22/100)*100))</f>
        <v>101.63408219572906</v>
      </c>
      <c r="AD22" s="20">
        <f>IF(OR((C22+D22)="",(C22+D22)=0),"",(C22/(C22+D22)))</f>
        <v>0.5</v>
      </c>
      <c r="AE22" s="17">
        <f>IF(OR(F22="",F22=0),"",(M22/F22))</f>
        <v>6.1414141414141401</v>
      </c>
      <c r="AF22" s="17">
        <f>IF(OR(AA22="",AA22=0,League!$Q$7="",League!$Q$7=0),"",(Z22*100/AA22*(League!$P$7/League!$Q$7)))</f>
        <v>4.1490137580129653</v>
      </c>
      <c r="AG22" s="34">
        <f>(1.19*AE22-0.056*AF22+1.71)*League!$AB$7</f>
        <v>8.9516408916444696</v>
      </c>
      <c r="AH22" s="17">
        <f>IF(OR(League!$Q$6="",League!$Q$6=0),"",(League!$Y$6*(League!$P$6/League!$Q$6)))</f>
        <v>4.0745235060076688</v>
      </c>
      <c r="AI22" s="17">
        <f>IF(OR(League!$Q$7="",League!$Q$7=0,AA22="",AA22=0,F22="",F22=0,League!$G$6="",League!$G$6=0,League!$Q$8="",League!$Q$8=0),"",((Z22/(AA22/100)/9*(League!$P$7/League!$Q$7)*(M22/F22)+(League!$M$6/League!$G$6-M22/F22)*(League!$Y$8/9*League!$P$8/League!$Q$8))/(League!$M$6/League!$G$6)*9))</f>
        <v>4.0832464785294666</v>
      </c>
      <c r="AJ22" s="17">
        <f>IF(AH22="","",((AH22+AI22)^0.287))</f>
        <v>1.8265055989282983</v>
      </c>
      <c r="AK22" s="21">
        <f>IF(AM22="","",(AM22*F22))</f>
        <v>16.467774652151505</v>
      </c>
      <c r="AL22" s="21">
        <f>IF(AK22="","",(F22-AK22))</f>
        <v>16.532225347848495</v>
      </c>
      <c r="AM22" s="20">
        <f>IF(AJ22="","",(AH22^AJ22/(AH22^AJ22+AI22^AJ22)))</f>
        <v>0.4990234743076214</v>
      </c>
      <c r="AN22" s="21">
        <f>IF(OR(AG22="",AG22=0),"",IF(((M22/AG22)&gt;=F22),AK22,IF(OR(AM22=1,(AK22-(F22-M22/AG22)*League!$AA$8)&gt;=AK22),AK22,IF(OR(AM22=0,(AK22-(F22-M22/AG22)*League!$AA$8)&lt;=0),0,(AK22-(F22-M22/AG22)*League!$AA$8)))))</f>
        <v>11.234320202553086</v>
      </c>
      <c r="AO22" s="21">
        <f>IF(OR(AG22="",AG22=0),"",IF((M22/AG22)&gt;=F22,AL22,(M22/AG22-AN22)))</f>
        <v>11.405849250160021</v>
      </c>
      <c r="AP22" s="20">
        <f>IF(OR(AN22="",(AN22+AO22)=0),"",(AN22/(AN22+AO22)))</f>
        <v>0.49621184267270624</v>
      </c>
      <c r="AQ22" s="22">
        <f>IF(AN22="","",((C22-AN22)+(AO22-D22)))</f>
        <v>0.17152904760693488</v>
      </c>
    </row>
    <row r="23" spans="1:43" x14ac:dyDescent="0.3">
      <c r="A23" s="15" t="s">
        <v>142</v>
      </c>
      <c r="B23" s="16" t="s">
        <v>55</v>
      </c>
      <c r="C23" s="16">
        <v>7</v>
      </c>
      <c r="D23" s="16">
        <v>10</v>
      </c>
      <c r="E23" s="17">
        <f>IF(OR(M23="",M23=0),"",(R23/M23*9))</f>
        <v>4.913602941176471</v>
      </c>
      <c r="F23" s="16">
        <v>31</v>
      </c>
      <c r="G23" s="16">
        <v>31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8">
        <f>IF(N23="","",(INT(N23)+(N23-INT(N23))*10/3))</f>
        <v>181.33333333333331</v>
      </c>
      <c r="N23" s="16">
        <v>181.1</v>
      </c>
      <c r="O23" s="16">
        <v>794</v>
      </c>
      <c r="P23" s="16">
        <v>180</v>
      </c>
      <c r="Q23" s="16">
        <v>108</v>
      </c>
      <c r="R23" s="16">
        <v>99</v>
      </c>
      <c r="S23" s="16">
        <v>27</v>
      </c>
      <c r="T23" s="16">
        <v>73</v>
      </c>
      <c r="U23" s="16">
        <v>1</v>
      </c>
      <c r="V23" s="16">
        <v>12</v>
      </c>
      <c r="W23" s="16">
        <v>10</v>
      </c>
      <c r="X23" s="16">
        <v>1</v>
      </c>
      <c r="Y23" s="16">
        <v>163</v>
      </c>
      <c r="Z23" s="17">
        <f>IF(OR(M23="",M23=0),"",((13*S23+3*(T23+V23)-2*Y23)/M23+League!$Y$2))</f>
        <v>4.5919719537173451</v>
      </c>
      <c r="AA23" s="23">
        <f>124/M23*BPF!B16+172/(M23*3)*BPF!B30</f>
        <v>101.15441176470588</v>
      </c>
      <c r="AB23" s="19">
        <f>IF(OR(E23="",E23=0),"",(E23/(League!$E$6*AA23/100)*100))</f>
        <v>129.93451267784334</v>
      </c>
      <c r="AC23" s="19">
        <f>IF(OR(Z23="",Z23=0),"",(Z23/(League!$Y$6*AA23/100)*100))</f>
        <v>120.547496829851</v>
      </c>
      <c r="AD23" s="20">
        <f>IF(OR((C23+D23)="",(C23+D23)=0),"",(C23/(C23+D23)))</f>
        <v>0.41176470588235292</v>
      </c>
      <c r="AE23" s="17">
        <f>IF(OR(F23="",F23=0),"",(M23/F23))</f>
        <v>5.8494623655913971</v>
      </c>
      <c r="AF23" s="17">
        <f>IF(OR(AA23="",AA23=0,League!$Q$7="",League!$Q$7=0),"",(Z23*100/AA23*(League!$P$7/League!$Q$7)))</f>
        <v>4.9211171295655571</v>
      </c>
      <c r="AG23" s="34">
        <f>(1.19*AE23-0.056*AF23+1.71)*League!$AB$7</f>
        <v>8.5536126325567992</v>
      </c>
      <c r="AH23" s="17">
        <f>IF(OR(League!$Q$6="",League!$Q$6=0),"",(League!$Y$6*(League!$P$6/League!$Q$6)))</f>
        <v>4.0745235060076688</v>
      </c>
      <c r="AI23" s="17">
        <f>IF(OR(League!$Q$7="",League!$Q$7=0,AA23="",AA23=0,F23="",F23=0,League!$G$6="",League!$G$6=0,League!$Q$8="",League!$Q$8=0),"",((Z23/(AA23/100)/9*(League!$P$7/League!$Q$7)*(M23/F23)+(League!$M$6/League!$G$6-M23/F23)*(League!$Y$8/9*League!$P$8/League!$Q$8))/(League!$M$6/League!$G$6)*9))</f>
        <v>4.5788492842417776</v>
      </c>
      <c r="AJ23" s="17">
        <f>IF(AH23="","",((AH23+AI23)^0.287))</f>
        <v>1.8576855960727416</v>
      </c>
      <c r="AK23" s="21">
        <f>IF(AM23="","",(AM23*F23))</f>
        <v>13.82649894387572</v>
      </c>
      <c r="AL23" s="21">
        <f>IF(AK23="","",(F23-AK23))</f>
        <v>17.17350105612428</v>
      </c>
      <c r="AM23" s="20">
        <f>IF(AJ23="","",(AH23^AJ23/(AH23^AJ23+AI23^AJ23)))</f>
        <v>0.4460160949637329</v>
      </c>
      <c r="AN23" s="21">
        <f>IF(OR(AG23="",AG23=0),"",IF(((M23/AG23)&gt;=F23),AK23,IF(OR(AM23=1,(AK23-(F23-M23/AG23)*League!$AA$8)&gt;=AK23),AK23,IF(OR(AM23=0,(AK23-(F23-M23/AG23)*League!$AA$8)&lt;=0),0,(AK23-(F23-M23/AG23)*League!$AA$8)))))</f>
        <v>8.8756607428370202</v>
      </c>
      <c r="AO23" s="21">
        <f>IF(OR(AG23="",AG23=0),"",IF((M23/AG23)&gt;=F23,AL23,(M23/AG23-AN23)))</f>
        <v>12.323958777357472</v>
      </c>
      <c r="AP23" s="20">
        <f>IF(OR(AN23="",(AN23+AO23)=0),"",(AN23/(AN23+AO23)))</f>
        <v>0.41867075653797359</v>
      </c>
      <c r="AQ23" s="22">
        <f>IF(AN23="","",((C23-AN23)+(AO23-D23)))</f>
        <v>0.44829803452045169</v>
      </c>
    </row>
    <row r="24" spans="1:43" x14ac:dyDescent="0.3">
      <c r="A24" s="15" t="s">
        <v>109</v>
      </c>
      <c r="B24" s="16" t="s">
        <v>95</v>
      </c>
      <c r="C24" s="16">
        <v>12</v>
      </c>
      <c r="D24" s="16">
        <v>6</v>
      </c>
      <c r="E24" s="17">
        <f>IF(OR(M24="",M24=0),"",(R24/M24*9))</f>
        <v>2.1891891891891895</v>
      </c>
      <c r="F24" s="16">
        <v>28</v>
      </c>
      <c r="G24" s="16">
        <v>28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8">
        <f>IF(N24="","",(INT(N24)+(N24-INT(N24))*10/3))</f>
        <v>172.66666666666663</v>
      </c>
      <c r="N24" s="16">
        <v>172.2</v>
      </c>
      <c r="O24" s="16">
        <v>681</v>
      </c>
      <c r="P24" s="16">
        <v>111</v>
      </c>
      <c r="Q24" s="16">
        <v>47</v>
      </c>
      <c r="R24" s="16">
        <v>42</v>
      </c>
      <c r="S24" s="16">
        <v>10</v>
      </c>
      <c r="T24" s="16">
        <v>58</v>
      </c>
      <c r="U24" s="16">
        <v>5</v>
      </c>
      <c r="V24" s="16">
        <v>5</v>
      </c>
      <c r="W24" s="16">
        <v>3</v>
      </c>
      <c r="X24" s="16">
        <v>1</v>
      </c>
      <c r="Y24" s="16">
        <v>187</v>
      </c>
      <c r="Z24" s="17">
        <f>IF(OR(M24="",M24=0),"",((13*S24+3*(T24+V24)-2*Y24)/M24+League!$Y$2))</f>
        <v>2.7293214881257026</v>
      </c>
      <c r="AA24" s="16">
        <f>VLOOKUP(B24,BPF!$A$2:$B$31,2,FALSE)</f>
        <v>101</v>
      </c>
      <c r="AB24" s="19">
        <f>IF(OR(E24="",E24=0),"",(E24/(League!$E$6*AA24/100)*100))</f>
        <v>57.979065719839795</v>
      </c>
      <c r="AC24" s="19">
        <f>IF(OR(Z24="",Z24=0),"",(Z24/(League!$Y$6*AA24/100)*100))</f>
        <v>71.759122507122953</v>
      </c>
      <c r="AD24" s="20">
        <f>IF(OR((C24+D24)="",(C24+D24)=0),"",(C24/(C24+D24)))</f>
        <v>0.66666666666666663</v>
      </c>
      <c r="AE24" s="17">
        <f>IF(OR(F24="",F24=0),"",(M24/F24))</f>
        <v>6.1666666666666652</v>
      </c>
      <c r="AF24" s="17">
        <f>IF(OR(AA24="",AA24=0,League!$Q$7="",League!$Q$7=0),"",(Z24*100/AA24*(League!$P$7/League!$Q$7)))</f>
        <v>2.9294266265091773</v>
      </c>
      <c r="AG24" s="34">
        <f>(1.19*AE24-0.056*AF24+1.71)*League!$AB$7</f>
        <v>9.0518431081998276</v>
      </c>
      <c r="AH24" s="17">
        <f>IF(OR(League!$Q$6="",League!$Q$6=0),"",(League!$Y$6*(League!$P$6/League!$Q$6)))</f>
        <v>4.0745235060076688</v>
      </c>
      <c r="AI24" s="17">
        <f>IF(OR(League!$Q$7="",League!$Q$7=0,AA24="",AA24=0,F24="",F24=0,League!$G$6="",League!$G$6=0,League!$Q$8="",League!$Q$8=0),"",((Z24/(AA24/100)/9*(League!$P$7/League!$Q$7)*(M24/F24)+(League!$M$6/League!$G$6-M24/F24)*(League!$Y$8/9*League!$P$8/League!$Q$8))/(League!$M$6/League!$G$6)*9))</f>
        <v>3.2473193471464752</v>
      </c>
      <c r="AJ24" s="17">
        <f>IF(AH24="","",((AH24+AI24)^0.287))</f>
        <v>1.7707043565410856</v>
      </c>
      <c r="AK24" s="21">
        <f>IF(AM24="","",(AM24*F24))</f>
        <v>16.775464097158476</v>
      </c>
      <c r="AL24" s="21">
        <f>IF(AK24="","",(F24-AK24))</f>
        <v>11.224535902841524</v>
      </c>
      <c r="AM24" s="20">
        <f>IF(AJ24="","",(AH24^AJ24/(AH24^AJ24+AI24^AJ24)))</f>
        <v>0.59912371775565987</v>
      </c>
      <c r="AN24" s="21">
        <f>IF(OR(AG24="",AG24=0),"",IF(((M24/AG24)&gt;=F24),AK24,IF(OR(AM24=1,(AK24-(F24-M24/AG24)*League!$AA$8)&gt;=AK24),AK24,IF(OR(AM24=0,(AK24-(F24-M24/AG24)*League!$AA$8)&lt;=0),0,(AK24-(F24-M24/AG24)*League!$AA$8)))))</f>
        <v>12.266994062327079</v>
      </c>
      <c r="AO24" s="21">
        <f>IF(OR(AG24="",AG24=0),"",IF((M24/AG24)&gt;=F24,AL24,(M24/AG24-AN24)))</f>
        <v>6.8083107792087212</v>
      </c>
      <c r="AP24" s="20">
        <f>IF(OR(AN24="",(AN24+AO24)=0),"",(AN24/(AN24+AO24)))</f>
        <v>0.64308246522048418</v>
      </c>
      <c r="AQ24" s="22">
        <f>IF(AN24="","",((C24-AN24)+(AO24-D24)))</f>
        <v>0.54131671688164218</v>
      </c>
    </row>
    <row r="25" spans="1:43" x14ac:dyDescent="0.3">
      <c r="A25" s="15" t="s">
        <v>128</v>
      </c>
      <c r="B25" s="16" t="s">
        <v>98</v>
      </c>
      <c r="C25" s="16">
        <v>11</v>
      </c>
      <c r="D25" s="16">
        <v>8</v>
      </c>
      <c r="E25" s="17">
        <f>IF(OR(M25="",M25=0),"",(R25/M25*9))</f>
        <v>3.3577512776831351</v>
      </c>
      <c r="F25" s="16">
        <v>32</v>
      </c>
      <c r="G25" s="16">
        <v>32</v>
      </c>
      <c r="H25" s="16">
        <v>1</v>
      </c>
      <c r="I25" s="16">
        <v>1</v>
      </c>
      <c r="J25" s="16">
        <v>0</v>
      </c>
      <c r="K25" s="16">
        <v>0</v>
      </c>
      <c r="L25" s="16">
        <v>0</v>
      </c>
      <c r="M25" s="18">
        <f>IF(N25="","",(INT(N25)+(N25-INT(N25))*10/3))</f>
        <v>195.66666666666663</v>
      </c>
      <c r="N25" s="16">
        <v>195.2</v>
      </c>
      <c r="O25" s="16">
        <v>819</v>
      </c>
      <c r="P25" s="16">
        <v>169</v>
      </c>
      <c r="Q25" s="16">
        <v>79</v>
      </c>
      <c r="R25" s="16">
        <v>73</v>
      </c>
      <c r="S25" s="16">
        <v>17</v>
      </c>
      <c r="T25" s="16">
        <v>76</v>
      </c>
      <c r="U25" s="16">
        <v>1</v>
      </c>
      <c r="V25" s="16">
        <v>2</v>
      </c>
      <c r="W25" s="16">
        <v>4</v>
      </c>
      <c r="X25" s="16">
        <v>1</v>
      </c>
      <c r="Y25" s="16">
        <v>192</v>
      </c>
      <c r="Z25" s="17">
        <f>IF(OR(M25="",M25=0),"",((13*S25+3*(T25+V25)-2*Y25)/M25+League!$Y$2))</f>
        <v>3.4107163168799866</v>
      </c>
      <c r="AA25" s="16">
        <f>VLOOKUP(B25,BPF!$A$2:$B$31,2,FALSE)</f>
        <v>100</v>
      </c>
      <c r="AB25" s="19">
        <f>IF(OR(E25="",E25=0),"",(E25/(League!$E$6*AA25/100)*100))</f>
        <v>89.816848991698009</v>
      </c>
      <c r="AC25" s="19">
        <f>IF(OR(Z25="",Z25=0),"",(Z25/(League!$Y$6*AA25/100)*100))</f>
        <v>90.571048956930156</v>
      </c>
      <c r="AD25" s="20">
        <f>IF(OR((C25+D25)="",(C25+D25)=0),"",(C25/(C25+D25)))</f>
        <v>0.57894736842105265</v>
      </c>
      <c r="AE25" s="17">
        <f>IF(OR(F25="",F25=0),"",(M25/F25))</f>
        <v>6.1145833333333321</v>
      </c>
      <c r="AF25" s="17">
        <f>IF(OR(AA25="",AA25=0,League!$Q$7="",League!$Q$7=0),"",(Z25*100/AA25*(League!$P$7/League!$Q$7)))</f>
        <v>3.6973869403010204</v>
      </c>
      <c r="AG25" s="34">
        <f>(1.19*AE25-0.056*AF25+1.71)*League!$AB$7</f>
        <v>8.9448781474101295</v>
      </c>
      <c r="AH25" s="17">
        <f>IF(OR(League!$Q$6="",League!$Q$6=0),"",(League!$Y$6*(League!$P$6/League!$Q$6)))</f>
        <v>4.0745235060076688</v>
      </c>
      <c r="AI25" s="17">
        <f>IF(OR(League!$Q$7="",League!$Q$7=0,AA25="",AA25=0,F25="",F25=0,League!$G$6="",League!$G$6=0,League!$Q$8="",League!$Q$8=0),"",((Z25/(AA25/100)/9*(League!$P$7/League!$Q$7)*(M25/F25)+(League!$M$6/League!$G$6-M25/F25)*(League!$Y$8/9*League!$P$8/League!$Q$8))/(League!$M$6/League!$G$6)*9))</f>
        <v>3.775474398027387</v>
      </c>
      <c r="AJ25" s="17">
        <f>IF(AH25="","",((AH25+AI25)^0.287))</f>
        <v>1.8064567084505065</v>
      </c>
      <c r="AK25" s="21">
        <f>IF(AM25="","",(AM25*F25))</f>
        <v>17.099879835284714</v>
      </c>
      <c r="AL25" s="21">
        <f>IF(AK25="","",(F25-AK25))</f>
        <v>14.900120164715286</v>
      </c>
      <c r="AM25" s="20">
        <f>IF(AJ25="","",(AH25^AJ25/(AH25^AJ25+AI25^AJ25)))</f>
        <v>0.53437124485264731</v>
      </c>
      <c r="AN25" s="21">
        <f>IF(OR(AG25="",AG25=0),"",IF(((M25/AG25)&gt;=F25),AK25,IF(OR(AM25=1,(AK25-(F25-M25/AG25)*League!$AA$8)&gt;=AK25),AK25,IF(OR(AM25=0,(AK25-(F25-M25/AG25)*League!$AA$8)&lt;=0),0,(AK25-(F25-M25/AG25)*League!$AA$8)))))</f>
        <v>11.98491064711574</v>
      </c>
      <c r="AO25" s="21">
        <f>IF(OR(AG25="",AG25=0),"",IF((M25/AG25)&gt;=F25,AL25,(M25/AG25-AN25)))</f>
        <v>9.8898050775830164</v>
      </c>
      <c r="AP25" s="20">
        <f>IF(OR(AN25="",(AN25+AO25)=0),"",(AN25/(AN25+AO25)))</f>
        <v>0.54788874963908984</v>
      </c>
      <c r="AQ25" s="22">
        <f>IF(AN25="","",((C25-AN25)+(AO25-D25)))</f>
        <v>0.90489443046727658</v>
      </c>
    </row>
    <row r="26" spans="1:43" x14ac:dyDescent="0.3">
      <c r="A26" s="15" t="s">
        <v>111</v>
      </c>
      <c r="B26" s="16" t="s">
        <v>104</v>
      </c>
      <c r="C26" s="16">
        <v>13</v>
      </c>
      <c r="D26" s="16">
        <v>9</v>
      </c>
      <c r="E26" s="17">
        <f>IF(OR(M26="",M26=0),"",(R26/M26*9))</f>
        <v>2.7715231788079473</v>
      </c>
      <c r="F26" s="16">
        <v>31</v>
      </c>
      <c r="G26" s="16">
        <v>31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8">
        <f>IF(N26="","",(INT(N26)+(N26-INT(N26))*10/3))</f>
        <v>201.33333333333331</v>
      </c>
      <c r="N26" s="16">
        <v>201.1</v>
      </c>
      <c r="O26" s="16">
        <v>803</v>
      </c>
      <c r="P26" s="16">
        <v>146</v>
      </c>
      <c r="Q26" s="16">
        <v>68</v>
      </c>
      <c r="R26" s="16">
        <v>62</v>
      </c>
      <c r="S26" s="16">
        <v>15</v>
      </c>
      <c r="T26" s="16">
        <v>62</v>
      </c>
      <c r="U26" s="16">
        <v>6</v>
      </c>
      <c r="V26" s="16">
        <v>6</v>
      </c>
      <c r="W26" s="16">
        <v>6</v>
      </c>
      <c r="X26" s="16">
        <v>0</v>
      </c>
      <c r="Y26" s="16">
        <v>199</v>
      </c>
      <c r="Z26" s="17">
        <f>IF(OR(M26="",M26=0),"",((13*S26+3*(T26+V26)-2*Y26)/M26+League!$Y$2))</f>
        <v>3.0528211940757397</v>
      </c>
      <c r="AA26" s="16">
        <f>VLOOKUP(B26,BPF!$A$2:$B$31,2,FALSE)</f>
        <v>94</v>
      </c>
      <c r="AB26" s="19">
        <f>IF(OR(E26="",E26=0),"",(E26/(League!$E$6*AA26/100)*100))</f>
        <v>78.867841182263419</v>
      </c>
      <c r="AC26" s="19">
        <f>IF(OR(Z26="",Z26=0),"",(Z26/(League!$Y$6*AA26/100)*100))</f>
        <v>86.241700886769237</v>
      </c>
      <c r="AD26" s="20">
        <f>IF(OR((C26+D26)="",(C26+D26)=0),"",(C26/(C26+D26)))</f>
        <v>0.59090909090909094</v>
      </c>
      <c r="AE26" s="17">
        <f>IF(OR(F26="",F26=0),"",(M26/F26))</f>
        <v>6.4946236559139781</v>
      </c>
      <c r="AF26" s="17">
        <f>IF(OR(AA26="",AA26=0,League!$Q$7="",League!$Q$7=0),"",(Z26*100/AA26*(League!$P$7/League!$Q$7)))</f>
        <v>3.5206497246125674</v>
      </c>
      <c r="AG26" s="34">
        <f>(1.19*AE26-0.056*AF26+1.71)*League!$AB$7</f>
        <v>9.4157394773244878</v>
      </c>
      <c r="AH26" s="17">
        <f>IF(OR(League!$Q$6="",League!$Q$6=0),"",(League!$Y$6*(League!$P$6/League!$Q$6)))</f>
        <v>4.0745235060076688</v>
      </c>
      <c r="AI26" s="17">
        <f>IF(OR(League!$Q$7="",League!$Q$7=0,AA26="",AA26=0,F26="",F26=0,League!$G$6="",League!$G$6=0,League!$Q$8="",League!$Q$8=0),"",((Z26/(AA26/100)/9*(League!$P$7/League!$Q$7)*(M26/F26)+(League!$M$6/League!$G$6-M26/F26)*(League!$Y$8/9*League!$P$8/League!$Q$8))/(League!$M$6/League!$G$6)*9))</f>
        <v>3.6374857978787296</v>
      </c>
      <c r="AJ26" s="17">
        <f>IF(AH26="","",((AH26+AI26)^0.287))</f>
        <v>1.7972855612921335</v>
      </c>
      <c r="AK26" s="21">
        <f>IF(AM26="","",(AM26*F26))</f>
        <v>17.074941266690171</v>
      </c>
      <c r="AL26" s="21">
        <f>IF(AK26="","",(F26-AK26))</f>
        <v>13.925058733309829</v>
      </c>
      <c r="AM26" s="20">
        <f>IF(AJ26="","",(AH26^AJ26/(AH26^AJ26+AI26^AJ26)))</f>
        <v>0.55080455699000552</v>
      </c>
      <c r="AN26" s="21">
        <f>IF(OR(AG26="",AG26=0),"",IF(((M26/AG26)&gt;=F26),AK26,IF(OR(AM26=1,(AK26-(F26-M26/AG26)*League!$AA$8)&gt;=AK26),AK26,IF(OR(AM26=0,(AK26-(F26-M26/AG26)*League!$AA$8)&lt;=0),0,(AK26-(F26-M26/AG26)*League!$AA$8)))))</f>
        <v>12.216557310582768</v>
      </c>
      <c r="AO26" s="21">
        <f>IF(OR(AG26="",AG26=0),"",IF((M26/AG26)&gt;=F26,AL26,(M26/AG26-AN26)))</f>
        <v>9.1660790525192013</v>
      </c>
      <c r="AP26" s="20">
        <f>IF(OR(AN26="",(AN26+AO26)=0),"",(AN26/(AN26+AO26)))</f>
        <v>0.57133073317674465</v>
      </c>
      <c r="AQ26" s="22">
        <f>IF(AN26="","",((C26-AN26)+(AO26-D26)))</f>
        <v>0.94952174193643302</v>
      </c>
    </row>
    <row r="27" spans="1:43" x14ac:dyDescent="0.3">
      <c r="A27" s="15" t="s">
        <v>114</v>
      </c>
      <c r="B27" s="16" t="s">
        <v>91</v>
      </c>
      <c r="C27" s="16">
        <v>13</v>
      </c>
      <c r="D27" s="16">
        <v>9</v>
      </c>
      <c r="E27" s="17">
        <f>IF(OR(M27="",M27=0),"",(R27/M27*9))</f>
        <v>3.2100977198697072</v>
      </c>
      <c r="F27" s="16">
        <v>32</v>
      </c>
      <c r="G27" s="16">
        <v>32</v>
      </c>
      <c r="H27" s="16">
        <v>1</v>
      </c>
      <c r="I27" s="16">
        <v>0</v>
      </c>
      <c r="J27" s="16">
        <v>0</v>
      </c>
      <c r="K27" s="16">
        <v>0</v>
      </c>
      <c r="L27" s="16">
        <v>0</v>
      </c>
      <c r="M27" s="18">
        <f>IF(N27="","",(INT(N27)+(N27-INT(N27))*10/3))</f>
        <v>204.66666666666663</v>
      </c>
      <c r="N27" s="16">
        <v>204.2</v>
      </c>
      <c r="O27" s="16">
        <v>820</v>
      </c>
      <c r="P27" s="16">
        <v>177</v>
      </c>
      <c r="Q27" s="16">
        <v>79</v>
      </c>
      <c r="R27" s="16">
        <v>73</v>
      </c>
      <c r="S27" s="16">
        <v>22</v>
      </c>
      <c r="T27" s="16">
        <v>46</v>
      </c>
      <c r="U27" s="16">
        <v>2</v>
      </c>
      <c r="V27" s="16">
        <v>1</v>
      </c>
      <c r="W27" s="16">
        <v>5</v>
      </c>
      <c r="X27" s="16">
        <v>0</v>
      </c>
      <c r="Y27" s="16">
        <v>181</v>
      </c>
      <c r="Z27" s="17">
        <f>IF(OR(M27="",M27=0),"",((13*S27+3*(T27+V27)-2*Y27)/M27+League!$Y$2))</f>
        <v>3.3654438832057525</v>
      </c>
      <c r="AA27" s="16">
        <f>VLOOKUP(B27,BPF!$A$2:$B$31,2,FALSE)</f>
        <v>99</v>
      </c>
      <c r="AB27" s="19">
        <f>IF(OR(E27="",E27=0),"",(E27/(League!$E$6*AA27/100)*100))</f>
        <v>86.734594081082378</v>
      </c>
      <c r="AC27" s="19">
        <f>IF(OR(Z27="",Z27=0),"",(Z27/(League!$Y$6*AA27/100)*100))</f>
        <v>90.271562041053741</v>
      </c>
      <c r="AD27" s="20">
        <f>IF(OR((C27+D27)="",(C27+D27)=0),"",(C27/(C27+D27)))</f>
        <v>0.59090909090909094</v>
      </c>
      <c r="AE27" s="17">
        <f>IF(OR(F27="",F27=0),"",(M27/F27))</f>
        <v>6.3958333333333321</v>
      </c>
      <c r="AF27" s="17">
        <f>IF(OR(AA27="",AA27=0,League!$Q$7="",League!$Q$7=0),"",(Z27*100/AA27*(League!$P$7/League!$Q$7)))</f>
        <v>3.6851609693720642</v>
      </c>
      <c r="AG27" s="34">
        <f>(1.19*AE27-0.056*AF27+1.71)*League!$AB$7</f>
        <v>9.2865754222183217</v>
      </c>
      <c r="AH27" s="17">
        <f>IF(OR(League!$Q$6="",League!$Q$6=0),"",(League!$Y$6*(League!$P$6/League!$Q$6)))</f>
        <v>4.0745235060076688</v>
      </c>
      <c r="AI27" s="17">
        <f>IF(OR(League!$Q$7="",League!$Q$7=0,AA27="",AA27=0,F27="",F27=0,League!$G$6="",League!$G$6=0,League!$Q$8="",League!$Q$8=0),"",((Z27/(AA27/100)/9*(League!$P$7/League!$Q$7)*(M27/F27)+(League!$M$6/League!$G$6-M27/F27)*(League!$Y$8/9*League!$P$8/League!$Q$8))/(League!$M$6/League!$G$6)*9))</f>
        <v>3.759140921741245</v>
      </c>
      <c r="AJ27" s="17">
        <f>IF(AH27="","",((AH27+AI27)^0.287))</f>
        <v>1.805377162953568</v>
      </c>
      <c r="AK27" s="21">
        <f>IF(AM27="","",(AM27*F27))</f>
        <v>17.161530990452821</v>
      </c>
      <c r="AL27" s="21">
        <f>IF(AK27="","",(F27-AK27))</f>
        <v>14.838469009547179</v>
      </c>
      <c r="AM27" s="20">
        <f>IF(AJ27="","",(AH27^AJ27/(AH27^AJ27+AI27^AJ27)))</f>
        <v>0.53629784345165066</v>
      </c>
      <c r="AN27" s="21">
        <f>IF(OR(AG27="",AG27=0),"",IF(((M27/AG27)&gt;=F27),AK27,IF(OR(AM27=1,(AK27-(F27-M27/AG27)*League!$AA$8)&gt;=AK27),AK27,IF(OR(AM27=0,(AK27-(F27-M27/AG27)*League!$AA$8)&lt;=0),0,(AK27-(F27-M27/AG27)*League!$AA$8)))))</f>
        <v>12.129543757612968</v>
      </c>
      <c r="AO27" s="21">
        <f>IF(OR(AG27="",AG27=0),"",IF((M27/AG27)&gt;=F27,AL27,(M27/AG27-AN27)))</f>
        <v>9.9094380372257902</v>
      </c>
      <c r="AP27" s="20">
        <f>IF(OR(AN27="",(AN27+AO27)=0),"",(AN27/(AN27+AO27)))</f>
        <v>0.55036770167184168</v>
      </c>
      <c r="AQ27" s="22">
        <f>IF(AN27="","",((C27-AN27)+(AO27-D27)))</f>
        <v>1.7798942796128223</v>
      </c>
    </row>
    <row r="28" spans="1:43" x14ac:dyDescent="0.3">
      <c r="A28" s="15" t="s">
        <v>110</v>
      </c>
      <c r="B28" s="16" t="s">
        <v>102</v>
      </c>
      <c r="C28" s="43">
        <v>19</v>
      </c>
      <c r="D28" s="16">
        <v>9</v>
      </c>
      <c r="E28" s="17">
        <f>IF(OR(M28="",M28=0),"",(R28/M28*9))</f>
        <v>2.9420689655172421</v>
      </c>
      <c r="F28" s="16">
        <v>34</v>
      </c>
      <c r="G28" s="44">
        <v>34</v>
      </c>
      <c r="H28" s="44">
        <v>5</v>
      </c>
      <c r="I28" s="43">
        <v>2</v>
      </c>
      <c r="J28" s="16">
        <v>0</v>
      </c>
      <c r="K28" s="16">
        <v>0</v>
      </c>
      <c r="L28" s="16">
        <v>0</v>
      </c>
      <c r="M28" s="46">
        <f>IF(N28="","",(INT(N28)+(N28-INT(N28))*10/3))</f>
        <v>241.66666666666663</v>
      </c>
      <c r="N28" s="16">
        <v>241.2</v>
      </c>
      <c r="O28" s="44">
        <v>956</v>
      </c>
      <c r="P28" s="43">
        <v>223</v>
      </c>
      <c r="Q28" s="16">
        <v>83</v>
      </c>
      <c r="R28" s="16">
        <v>79</v>
      </c>
      <c r="S28" s="16">
        <v>15</v>
      </c>
      <c r="T28" s="16">
        <v>35</v>
      </c>
      <c r="U28" s="16">
        <v>2</v>
      </c>
      <c r="V28" s="16">
        <v>6</v>
      </c>
      <c r="W28" s="16">
        <v>5</v>
      </c>
      <c r="X28" s="16">
        <v>0</v>
      </c>
      <c r="Y28" s="16">
        <v>219</v>
      </c>
      <c r="Z28" s="17">
        <f>IF(OR(M28="",M28=0),"",((13*S28+3*(T28+V28)-2*Y28)/M28+League!$Y$2))</f>
        <v>2.5513025825205902</v>
      </c>
      <c r="AA28" s="16">
        <f>VLOOKUP(B28,BPF!$A$2:$B$31,2,FALSE)</f>
        <v>97</v>
      </c>
      <c r="AB28" s="19">
        <f>IF(OR(E28="",E28=0),"",(E28/(League!$E$6*AA28/100)*100))</f>
        <v>81.131668297230803</v>
      </c>
      <c r="AC28" s="19">
        <f>IF(OR(Z28="",Z28=0),"",(Z28/(League!$Y$6*AA28/100)*100))</f>
        <v>69.844792765818696</v>
      </c>
      <c r="AD28" s="20">
        <f>IF(OR((C28+D28)="",(C28+D28)=0),"",(C28/(C28+D28)))</f>
        <v>0.6785714285714286</v>
      </c>
      <c r="AE28" s="17">
        <f>IF(OR(F28="",F28=0),"",(M28/F28))</f>
        <v>7.1078431372549007</v>
      </c>
      <c r="AF28" s="17">
        <f>IF(OR(AA28="",AA28=0,League!$Q$7="",League!$Q$7=0),"",(Z28*100/AA28*(League!$P$7/League!$Q$7)))</f>
        <v>2.8512778376142394</v>
      </c>
      <c r="AG28" s="34">
        <f>(1.19*AE28-0.056*AF28+1.71)*League!$AB$7</f>
        <v>10.197425183382823</v>
      </c>
      <c r="AH28" s="17">
        <f>IF(OR(League!$Q$6="",League!$Q$6=0),"",(League!$Y$6*(League!$P$6/League!$Q$6)))</f>
        <v>4.0745235060076688</v>
      </c>
      <c r="AI28" s="17">
        <f>IF(OR(League!$Q$7="",League!$Q$7=0,AA28="",AA28=0,F28="",F28=0,League!$G$6="",League!$G$6=0,League!$Q$8="",League!$Q$8=0),"",((Z28/(AA28/100)/9*(League!$P$7/League!$Q$7)*(M28/F28)+(League!$M$6/League!$G$6-M28/F28)*(League!$Y$8/9*League!$P$8/League!$Q$8))/(League!$M$6/League!$G$6)*9))</f>
        <v>3.0795901223550315</v>
      </c>
      <c r="AJ28" s="17">
        <f>IF(AH28="","",((AH28+AI28)^0.287))</f>
        <v>1.758966321813493</v>
      </c>
      <c r="AK28" s="49">
        <f>IF(AM28="","",(AM28*F28))</f>
        <v>21.103119865925365</v>
      </c>
      <c r="AL28" s="21">
        <f>IF(AK28="","",(F28-AK28))</f>
        <v>12.896880134074635</v>
      </c>
      <c r="AM28" s="20">
        <f>IF(AJ28="","",(AH28^AJ28/(AH28^AJ28+AI28^AJ28)))</f>
        <v>0.62067999605662838</v>
      </c>
      <c r="AN28" s="21">
        <f>IF(OR(AG28="",AG28=0),"",IF(((M28/AG28)&gt;=F28),AK28,IF(OR(AM28=1,(AK28-(F28-M28/AG28)*League!$AA$8)&gt;=AK28),AK28,IF(OR(AM28=0,(AK28-(F28-M28/AG28)*League!$AA$8)&lt;=0),0,(AK28-(F28-M28/AG28)*League!$AA$8)))))</f>
        <v>15.899280060544037</v>
      </c>
      <c r="AO28" s="21">
        <f>IF(OR(AG28="",AG28=0),"",IF((M28/AG28)&gt;=F28,AL28,(M28/AG28-AN28)))</f>
        <v>7.7995127543788598</v>
      </c>
      <c r="AP28" s="20">
        <f>IF(OR(AN28="",(AN28+AO28)=0),"",(AN28/(AN28+AO28)))</f>
        <v>0.67088987125675092</v>
      </c>
      <c r="AQ28" s="22">
        <f>IF(AN28="","",((C28-AN28)+(AO28-D28)))</f>
        <v>1.9002326938348233</v>
      </c>
    </row>
    <row r="29" spans="1:43" x14ac:dyDescent="0.3">
      <c r="A29" s="15" t="s">
        <v>135</v>
      </c>
      <c r="B29" s="16" t="s">
        <v>91</v>
      </c>
      <c r="C29" s="16">
        <v>15</v>
      </c>
      <c r="D29" s="16">
        <v>11</v>
      </c>
      <c r="E29" s="17">
        <f>IF(OR(M29="",M29=0),"",(R29/M29*9))</f>
        <v>3.1082474226804124</v>
      </c>
      <c r="F29" s="16">
        <v>31</v>
      </c>
      <c r="G29" s="16">
        <v>31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8">
        <f>IF(N29="","",(INT(N29)+(N29-INT(N29))*10/3))</f>
        <v>194</v>
      </c>
      <c r="N29" s="16">
        <v>194</v>
      </c>
      <c r="O29" s="16">
        <v>808</v>
      </c>
      <c r="P29" s="16">
        <v>190</v>
      </c>
      <c r="Q29" s="16">
        <v>76</v>
      </c>
      <c r="R29" s="16">
        <v>67</v>
      </c>
      <c r="S29" s="16">
        <v>17</v>
      </c>
      <c r="T29" s="16">
        <v>46</v>
      </c>
      <c r="U29" s="16">
        <v>1</v>
      </c>
      <c r="V29" s="16">
        <v>8</v>
      </c>
      <c r="W29" s="16">
        <v>2</v>
      </c>
      <c r="X29" s="16">
        <v>0</v>
      </c>
      <c r="Y29" s="16">
        <v>155</v>
      </c>
      <c r="Z29" s="17">
        <f>IF(OR(M29="",M29=0),"",((13*S29+3*(T29+V29)-2*Y29)/M29+League!$Y$2))</f>
        <v>3.4241429664523357</v>
      </c>
      <c r="AA29" s="16">
        <f>VLOOKUP(B29,BPF!$A$2:$B$31,2,FALSE)</f>
        <v>99</v>
      </c>
      <c r="AB29" s="19">
        <f>IF(OR(E29="",E29=0),"",(E29/(League!$E$6*AA29/100)*100))</f>
        <v>83.982670322166513</v>
      </c>
      <c r="AC29" s="19">
        <f>IF(OR(Z29="",Z29=0),"",(Z29/(League!$Y$6*AA29/100)*100))</f>
        <v>91.846052099107993</v>
      </c>
      <c r="AD29" s="20">
        <f>IF(OR((C29+D29)="",(C29+D29)=0),"",(C29/(C29+D29)))</f>
        <v>0.57692307692307687</v>
      </c>
      <c r="AE29" s="17">
        <f>IF(OR(F29="",F29=0),"",(M29/F29))</f>
        <v>6.258064516129032</v>
      </c>
      <c r="AF29" s="17">
        <f>IF(OR(AA29="",AA29=0,League!$Q$7="",League!$Q$7=0),"",(Z29*100/AA29*(League!$P$7/League!$Q$7)))</f>
        <v>3.7494364640839764</v>
      </c>
      <c r="AG29" s="34">
        <f>(1.19*AE29-0.056*AF29+1.71)*League!$AB$7</f>
        <v>9.1158712153611212</v>
      </c>
      <c r="AH29" s="17">
        <f>IF(OR(League!$Q$6="",League!$Q$6=0),"",(League!$Y$6*(League!$P$6/League!$Q$6)))</f>
        <v>4.0745235060076688</v>
      </c>
      <c r="AI29" s="17">
        <f>IF(OR(League!$Q$7="",League!$Q$7=0,AA29="",AA29=0,F29="",F29=0,League!$G$6="",League!$G$6=0,League!$Q$8="",League!$Q$8=0),"",((Z29/(AA29/100)/9*(League!$P$7/League!$Q$7)*(M29/F29)+(League!$M$6/League!$G$6-M29/F29)*(League!$Y$8/9*League!$P$8/League!$Q$8))/(League!$M$6/League!$G$6)*9))</f>
        <v>3.8078084932159824</v>
      </c>
      <c r="AJ29" s="17">
        <f>IF(AH29="","",((AH29+AI29)^0.287))</f>
        <v>1.8085890851511839</v>
      </c>
      <c r="AK29" s="21">
        <f>IF(AM29="","",(AM29*F29))</f>
        <v>16.447737514000185</v>
      </c>
      <c r="AL29" s="21">
        <f>IF(AK29="","",(F29-AK29))</f>
        <v>14.552262485999815</v>
      </c>
      <c r="AM29" s="20">
        <f>IF(AJ29="","",(AH29^AJ29/(AH29^AJ29+AI29^AJ29)))</f>
        <v>0.53057217787097366</v>
      </c>
      <c r="AN29" s="21">
        <f>IF(OR(AG29="",AG29=0),"",IF(((M29/AG29)&gt;=F29),AK29,IF(OR(AM29=1,(AK29-(F29-M29/AG29)*League!$AA$8)&gt;=AK29),AK29,IF(OR(AM29=0,(AK29-(F29-M29/AG29)*League!$AA$8)&lt;=0),0,(AK29-(F29-M29/AG29)*League!$AA$8)))))</f>
        <v>11.538295222227266</v>
      </c>
      <c r="AO29" s="21">
        <f>IF(OR(AG29="",AG29=0),"",IF((M29/AG29)&gt;=F29,AL29,(M29/AG29-AN29)))</f>
        <v>9.743269141373144</v>
      </c>
      <c r="AP29" s="20">
        <f>IF(OR(AN29="",(AN29+AO29)=0),"",(AN29/(AN29+AO29)))</f>
        <v>0.54217326438474378</v>
      </c>
      <c r="AQ29" s="22">
        <f>IF(AN29="","",((C29-AN29)+(AO29-D29)))</f>
        <v>2.2049739191458784</v>
      </c>
    </row>
    <row r="30" spans="1:43" x14ac:dyDescent="0.3">
      <c r="A30" s="15" t="s">
        <v>141</v>
      </c>
      <c r="B30" s="16" t="s">
        <v>97</v>
      </c>
      <c r="C30" s="16">
        <v>12</v>
      </c>
      <c r="D30" s="16">
        <v>10</v>
      </c>
      <c r="E30" s="17">
        <f>IF(OR(M30="",M30=0),"",(R30/M30*9))</f>
        <v>4.1845018450184508</v>
      </c>
      <c r="F30" s="16">
        <v>31</v>
      </c>
      <c r="G30" s="16">
        <v>31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8">
        <f>IF(N30="","",(INT(N30)+(N30-INT(N30))*10/3))</f>
        <v>180.66666666666663</v>
      </c>
      <c r="N30" s="16">
        <v>180.2</v>
      </c>
      <c r="O30" s="16">
        <v>773</v>
      </c>
      <c r="P30" s="16">
        <v>180</v>
      </c>
      <c r="Q30" s="16">
        <v>92</v>
      </c>
      <c r="R30" s="16">
        <v>84</v>
      </c>
      <c r="S30" s="16">
        <v>18</v>
      </c>
      <c r="T30" s="16">
        <v>66</v>
      </c>
      <c r="U30" s="16">
        <v>1</v>
      </c>
      <c r="V30" s="16">
        <v>3</v>
      </c>
      <c r="W30" s="16">
        <v>5</v>
      </c>
      <c r="X30" s="16">
        <v>0</v>
      </c>
      <c r="Y30" s="16">
        <v>144</v>
      </c>
      <c r="Z30" s="17">
        <f>IF(OR(M30="",M30=0),"",((13*S30+3*(T30+V30)-2*Y30)/M30+League!$Y$2))</f>
        <v>3.8947177752932078</v>
      </c>
      <c r="AA30" s="16">
        <f>VLOOKUP(B30,BPF!$A$2:$B$31,2,FALSE)</f>
        <v>101</v>
      </c>
      <c r="AB30" s="19">
        <f>IF(OR(E30="",E30=0),"",(E30/(League!$E$6*AA30/100)*100))</f>
        <v>110.82345403275653</v>
      </c>
      <c r="AC30" s="19">
        <f>IF(OR(Z30="",Z30=0),"",(Z30/(League!$Y$6*AA30/100)*100))</f>
        <v>102.39963712001625</v>
      </c>
      <c r="AD30" s="20">
        <f>IF(OR((C30+D30)="",(C30+D30)=0),"",(C30/(C30+D30)))</f>
        <v>0.54545454545454541</v>
      </c>
      <c r="AE30" s="17">
        <f>IF(OR(F30="",F30=0),"",(M30/F30))</f>
        <v>5.8279569892473102</v>
      </c>
      <c r="AF30" s="17">
        <f>IF(OR(AA30="",AA30=0,League!$Q$7="",League!$Q$7=0),"",(Z30*100/AA30*(League!$P$7/League!$Q$7)))</f>
        <v>4.1802660490236239</v>
      </c>
      <c r="AG30" s="34">
        <f>(1.19*AE30-0.056*AF30+1.71)*League!$AB$7</f>
        <v>8.5698086988075293</v>
      </c>
      <c r="AH30" s="17">
        <f>IF(OR(League!$Q$6="",League!$Q$6=0),"",(League!$Y$6*(League!$P$6/League!$Q$6)))</f>
        <v>4.0745235060076688</v>
      </c>
      <c r="AI30" s="17">
        <f>IF(OR(League!$Q$7="",League!$Q$7=0,AA30="",AA30=0,F30="",F30=0,League!$G$6="",League!$G$6=0,League!$Q$8="",League!$Q$8=0),"",((Z30/(AA30/100)/9*(League!$P$7/League!$Q$7)*(M30/F30)+(League!$M$6/League!$G$6-M30/F30)*(League!$Y$8/9*League!$P$8/League!$Q$8))/(League!$M$6/League!$G$6)*9))</f>
        <v>4.0962696245860482</v>
      </c>
      <c r="AJ30" s="17">
        <f>IF(AH30="","",((AH30+AI30)^0.287))</f>
        <v>1.8273419725921023</v>
      </c>
      <c r="AK30" s="21">
        <f>IF(AM30="","",(AM30*F30))</f>
        <v>15.424618171790909</v>
      </c>
      <c r="AL30" s="21">
        <f>IF(AK30="","",(F30-AK30))</f>
        <v>15.575381828209091</v>
      </c>
      <c r="AM30" s="20">
        <f>IF(AJ30="","",(AH30^AJ30/(AH30^AJ30+AI30^AJ30)))</f>
        <v>0.49756832812228741</v>
      </c>
      <c r="AN30" s="21">
        <f>IF(OR(AG30="",AG30=0),"",IF(((M30/AG30)&gt;=F30),AK30,IF(OR(AM30=1,(AK30-(F30-M30/AG30)*League!$AA$8)&gt;=AK30),AK30,IF(OR(AM30=0,(AK30-(F30-M30/AG30)*League!$AA$8)&lt;=0),0,(AK30-(F30-M30/AG30)*League!$AA$8)))))</f>
        <v>10.414242086180174</v>
      </c>
      <c r="AO30" s="21">
        <f>IF(OR(AG30="",AG30=0),"",IF((M30/AG30)&gt;=F30,AL30,(M30/AG30-AN30)))</f>
        <v>10.667519831306503</v>
      </c>
      <c r="AP30" s="20">
        <f>IF(OR(AN30="",(AN30+AO30)=0),"",(AN30/(AN30+AO30)))</f>
        <v>0.49399296543340043</v>
      </c>
      <c r="AQ30" s="22">
        <f>IF(AN30="","",((C30-AN30)+(AO30-D30)))</f>
        <v>2.2532777451263293</v>
      </c>
    </row>
    <row r="31" spans="1:43" x14ac:dyDescent="0.3">
      <c r="A31" s="15" t="s">
        <v>125</v>
      </c>
      <c r="B31" s="16" t="s">
        <v>97</v>
      </c>
      <c r="C31" s="16">
        <v>11</v>
      </c>
      <c r="D31" s="16">
        <v>10</v>
      </c>
      <c r="E31" s="17">
        <f>IF(OR(M31="",M31=0),"",(R31/M31*9))</f>
        <v>3.352348993288591</v>
      </c>
      <c r="F31" s="16">
        <v>32</v>
      </c>
      <c r="G31" s="16">
        <v>32</v>
      </c>
      <c r="H31" s="16">
        <v>2</v>
      </c>
      <c r="I31" s="16">
        <v>1</v>
      </c>
      <c r="J31" s="16">
        <v>0</v>
      </c>
      <c r="K31" s="16">
        <v>0</v>
      </c>
      <c r="L31" s="16">
        <v>0</v>
      </c>
      <c r="M31" s="18">
        <f>IF(N31="","",(INT(N31)+(N31-INT(N31))*10/3))</f>
        <v>198.66666666666663</v>
      </c>
      <c r="N31" s="16">
        <v>198.2</v>
      </c>
      <c r="O31" s="16">
        <v>806</v>
      </c>
      <c r="P31" s="16">
        <v>196</v>
      </c>
      <c r="Q31" s="16">
        <v>78</v>
      </c>
      <c r="R31" s="16">
        <v>74</v>
      </c>
      <c r="S31" s="16">
        <v>26</v>
      </c>
      <c r="T31" s="16">
        <v>36</v>
      </c>
      <c r="U31" s="16">
        <v>1</v>
      </c>
      <c r="V31" s="16">
        <v>3</v>
      </c>
      <c r="W31" s="16">
        <v>1</v>
      </c>
      <c r="X31" s="16">
        <v>0</v>
      </c>
      <c r="Y31" s="16">
        <v>125</v>
      </c>
      <c r="Z31" s="17">
        <f>IF(OR(M31="",M31=0),"",((13*S31+3*(T31+V31)-2*Y31)/M31+League!$Y$2))</f>
        <v>4.079733501289394</v>
      </c>
      <c r="AA31" s="16">
        <f>VLOOKUP(B31,BPF!$A$2:$B$31,2,FALSE)</f>
        <v>101</v>
      </c>
      <c r="AB31" s="19">
        <f>IF(OR(E31="",E31=0),"",(E31/(League!$E$6*AA31/100)*100))</f>
        <v>88.784497729821794</v>
      </c>
      <c r="AC31" s="19">
        <f>IF(OR(Z31="",Z31=0),"",(Z31/(League!$Y$6*AA31/100)*100))</f>
        <v>107.26405716187142</v>
      </c>
      <c r="AD31" s="20">
        <f>IF(OR((C31+D31)="",(C31+D31)=0),"",(C31/(C31+D31)))</f>
        <v>0.52380952380952384</v>
      </c>
      <c r="AE31" s="17">
        <f>IF(OR(F31="",F31=0),"",(M31/F31))</f>
        <v>6.2083333333333321</v>
      </c>
      <c r="AF31" s="17">
        <f>IF(OR(AA31="",AA31=0,League!$Q$7="",League!$Q$7=0),"",(Z31*100/AA31*(League!$P$7/League!$Q$7)))</f>
        <v>4.3788465374029357</v>
      </c>
      <c r="AG31" s="34">
        <f>(1.19*AE31-0.056*AF31+1.71)*League!$AB$7</f>
        <v>9.0196632487055624</v>
      </c>
      <c r="AH31" s="17">
        <f>IF(OR(League!$Q$6="",League!$Q$6=0),"",(League!$Y$6*(League!$P$6/League!$Q$6)))</f>
        <v>4.0745235060076688</v>
      </c>
      <c r="AI31" s="17">
        <f>IF(OR(League!$Q$7="",League!$Q$7=0,AA31="",AA31=0,F31="",F31=0,League!$G$6="",League!$G$6=0,League!$Q$8="",League!$Q$8=0),"",((Z31/(AA31/100)/9*(League!$P$7/League!$Q$7)*(M31/F31)+(League!$M$6/League!$G$6-M31/F31)*(League!$Y$8/9*League!$P$8/League!$Q$8))/(League!$M$6/League!$G$6)*9))</f>
        <v>4.2434976678597449</v>
      </c>
      <c r="AJ31" s="17">
        <f>IF(AH31="","",((AH31+AI31)^0.287))</f>
        <v>1.8367318043485026</v>
      </c>
      <c r="AK31" s="21">
        <f>IF(AM31="","",(AM31*F31))</f>
        <v>15.403206297723466</v>
      </c>
      <c r="AL31" s="21">
        <f>IF(AK31="","",(F31-AK31))</f>
        <v>16.596793702276535</v>
      </c>
      <c r="AM31" s="20">
        <f>IF(AJ31="","",(AH31^AJ31/(AH31^AJ31+AI31^AJ31)))</f>
        <v>0.48135019680385832</v>
      </c>
      <c r="AN31" s="21">
        <f>IF(OR(AG31="",AG31=0),"",IF(((M31/AG31)&gt;=F31),AK31,IF(OR(AM31=1,(AK31-(F31-M31/AG31)*League!$AA$8)&gt;=AK31),AK31,IF(OR(AM31=0,(AK31-(F31-M31/AG31)*League!$AA$8)&lt;=0),0,(AK31-(F31-M31/AG31)*League!$AA$8)))))</f>
        <v>10.364636656092976</v>
      </c>
      <c r="AO31" s="21">
        <f>IF(OR(AG31="",AG31=0),"",IF((M31/AG31)&gt;=F31,AL31,(M31/AG31-AN31)))</f>
        <v>11.661314999605239</v>
      </c>
      <c r="AP31" s="20">
        <f>IF(OR(AN31="",(AN31+AO31)=0),"",(AN31/(AN31+AO31)))</f>
        <v>0.47056476006618297</v>
      </c>
      <c r="AQ31" s="22">
        <f>IF(AN31="","",((C31-AN31)+(AO31-D31)))</f>
        <v>2.2966783435122622</v>
      </c>
    </row>
    <row r="32" spans="1:43" x14ac:dyDescent="0.3">
      <c r="A32" s="15" t="s">
        <v>133</v>
      </c>
      <c r="B32" s="16" t="s">
        <v>102</v>
      </c>
      <c r="C32" s="16">
        <v>15</v>
      </c>
      <c r="D32" s="16">
        <v>10</v>
      </c>
      <c r="E32" s="17">
        <f>IF(OR(M32="",M32=0),"",(R32/M32*9))</f>
        <v>3.9719008264462818</v>
      </c>
      <c r="F32" s="16">
        <v>33</v>
      </c>
      <c r="G32" s="16">
        <v>33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8">
        <f>IF(N32="","",(INT(N32)+(N32-INT(N32))*10/3))</f>
        <v>201.66666666666663</v>
      </c>
      <c r="N32" s="16">
        <v>201.2</v>
      </c>
      <c r="O32" s="16">
        <v>856</v>
      </c>
      <c r="P32" s="16">
        <v>189</v>
      </c>
      <c r="Q32" s="16">
        <v>92</v>
      </c>
      <c r="R32" s="16">
        <v>89</v>
      </c>
      <c r="S32" s="16">
        <v>14</v>
      </c>
      <c r="T32" s="16">
        <v>76</v>
      </c>
      <c r="U32" s="16">
        <v>0</v>
      </c>
      <c r="V32" s="16">
        <v>11</v>
      </c>
      <c r="W32" s="16">
        <v>6</v>
      </c>
      <c r="X32" s="16">
        <v>0</v>
      </c>
      <c r="Y32" s="16">
        <v>198</v>
      </c>
      <c r="Z32" s="17">
        <f>IF(OR(M32="",M32=0),"",((13*S32+3*(T32+V32)-2*Y32)/M32+League!$Y$2))</f>
        <v>3.2809121578981908</v>
      </c>
      <c r="AA32" s="16">
        <f>VLOOKUP(B32,BPF!$A$2:$B$31,2,FALSE)</f>
        <v>97</v>
      </c>
      <c r="AB32" s="19">
        <f>IF(OR(E32="",E32=0),"",(E32/(League!$E$6*AA32/100)*100))</f>
        <v>109.5307228136587</v>
      </c>
      <c r="AC32" s="19">
        <f>IF(OR(Z32="",Z32=0),"",(Z32/(League!$Y$6*AA32/100)*100))</f>
        <v>89.818679807417467</v>
      </c>
      <c r="AD32" s="20">
        <f>IF(OR((C32+D32)="",(C32+D32)=0),"",(C32/(C32+D32)))</f>
        <v>0.6</v>
      </c>
      <c r="AE32" s="17">
        <f>IF(OR(F32="",F32=0),"",(M32/F32))</f>
        <v>6.1111111111111098</v>
      </c>
      <c r="AF32" s="17">
        <f>IF(OR(AA32="",AA32=0,League!$Q$7="",League!$Q$7=0),"",(Z32*100/AA32*(League!$P$7/League!$Q$7)))</f>
        <v>3.6666729329031771</v>
      </c>
      <c r="AG32" s="34">
        <f>(1.19*AE32-0.056*AF32+1.71)*League!$AB$7</f>
        <v>8.9424206978022553</v>
      </c>
      <c r="AH32" s="17">
        <f>IF(OR(League!$Q$6="",League!$Q$6=0),"",(League!$Y$6*(League!$P$6/League!$Q$6)))</f>
        <v>4.0745235060076688</v>
      </c>
      <c r="AI32" s="17">
        <f>IF(OR(League!$Q$7="",League!$Q$7=0,AA32="",AA32=0,F32="",F32=0,League!$G$6="",League!$G$6=0,League!$Q$8="",League!$Q$8=0),"",((Z32/(AA32/100)/9*(League!$P$7/League!$Q$7)*(M32/F32)+(League!$M$6/League!$G$6-M32/F32)*(League!$Y$8/9*League!$P$8/League!$Q$8))/(League!$M$6/League!$G$6)*9))</f>
        <v>3.7546918433242613</v>
      </c>
      <c r="AJ32" s="17">
        <f>IF(AH32="","",((AH32+AI32)^0.287))</f>
        <v>1.8050828272879851</v>
      </c>
      <c r="AK32" s="21">
        <f>IF(AM32="","",(AM32*F32))</f>
        <v>17.715175532703281</v>
      </c>
      <c r="AL32" s="21">
        <f>IF(AK32="","",(F32-AK32))</f>
        <v>15.284824467296719</v>
      </c>
      <c r="AM32" s="20">
        <f>IF(AJ32="","",(AH32^AJ32/(AH32^AJ32+AI32^AJ32)))</f>
        <v>0.53682350099100851</v>
      </c>
      <c r="AN32" s="21">
        <f>IF(OR(AG32="",AG32=0),"",IF(((M32/AG32)&gt;=F32),AK32,IF(OR(AM32=1,(AK32-(F32-M32/AG32)*League!$AA$8)&gt;=AK32),AK32,IF(OR(AM32=0,(AK32-(F32-M32/AG32)*League!$AA$8)&lt;=0),0,(AK32-(F32-M32/AG32)*League!$AA$8)))))</f>
        <v>12.437022247957396</v>
      </c>
      <c r="AO32" s="21">
        <f>IF(OR(AG32="",AG32=0),"",IF((M32/AG32)&gt;=F32,AL32,(M32/AG32-AN32)))</f>
        <v>10.114664088632592</v>
      </c>
      <c r="AP32" s="20">
        <f>IF(OR(AN32="",(AN32+AO32)=0),"",(AN32/(AN32+AO32)))</f>
        <v>0.55148967852476716</v>
      </c>
      <c r="AQ32" s="22">
        <f>IF(AN32="","",((C32-AN32)+(AO32-D32)))</f>
        <v>2.6776418406751965</v>
      </c>
    </row>
    <row r="33" spans="1:43" x14ac:dyDescent="0.3">
      <c r="A33" s="15" t="s">
        <v>119</v>
      </c>
      <c r="B33" s="16" t="s">
        <v>93</v>
      </c>
      <c r="C33" s="16">
        <v>14</v>
      </c>
      <c r="D33" s="16">
        <v>7</v>
      </c>
      <c r="E33" s="17">
        <f>IF(OR(M33="",M33=0),"",(R33/M33*9))</f>
        <v>3.1613924050632916</v>
      </c>
      <c r="F33" s="16">
        <v>32</v>
      </c>
      <c r="G33" s="16">
        <v>32</v>
      </c>
      <c r="H33" s="16">
        <v>1</v>
      </c>
      <c r="I33" s="16">
        <v>0</v>
      </c>
      <c r="J33" s="16">
        <v>0</v>
      </c>
      <c r="K33" s="16">
        <v>0</v>
      </c>
      <c r="L33" s="16">
        <v>0</v>
      </c>
      <c r="M33" s="18">
        <f>IF(N33="","",(INT(N33)+(N33-INT(N33))*10/3))</f>
        <v>210.66666666666663</v>
      </c>
      <c r="N33" s="16">
        <v>210.2</v>
      </c>
      <c r="O33" s="16">
        <v>881</v>
      </c>
      <c r="P33" s="16">
        <v>197</v>
      </c>
      <c r="Q33" s="16">
        <v>82</v>
      </c>
      <c r="R33" s="16">
        <v>74</v>
      </c>
      <c r="S33" s="16">
        <v>14</v>
      </c>
      <c r="T33" s="16">
        <v>58</v>
      </c>
      <c r="U33" s="16">
        <v>5</v>
      </c>
      <c r="V33" s="16">
        <v>10</v>
      </c>
      <c r="W33" s="16">
        <v>8</v>
      </c>
      <c r="X33" s="16">
        <v>0</v>
      </c>
      <c r="Y33" s="16">
        <v>187</v>
      </c>
      <c r="Z33" s="17">
        <f>IF(OR(M33="",M33=0),"",((13*S33+3*(T33+V33)-2*Y33)/M33+League!$Y$2))</f>
        <v>3.1048163319749769</v>
      </c>
      <c r="AA33" s="16">
        <f>VLOOKUP(B33,BPF!$A$2:$B$31,2,FALSE)</f>
        <v>101</v>
      </c>
      <c r="AB33" s="19">
        <f>IF(OR(E33="",E33=0),"",(E33/(League!$E$6*AA33/100)*100))</f>
        <v>83.727152922426882</v>
      </c>
      <c r="AC33" s="19">
        <f>IF(OR(Z33="",Z33=0),"",(Z33/(League!$Y$6*AA33/100)*100))</f>
        <v>81.63160569307297</v>
      </c>
      <c r="AD33" s="20">
        <f>IF(OR((C33+D33)="",(C33+D33)=0),"",(C33/(C33+D33)))</f>
        <v>0.66666666666666663</v>
      </c>
      <c r="AE33" s="17">
        <f>IF(OR(F33="",F33=0),"",(M33/F33))</f>
        <v>6.5833333333333321</v>
      </c>
      <c r="AF33" s="17">
        <f>IF(OR(AA33="",AA33=0,League!$Q$7="",League!$Q$7=0),"",(Z33*100/AA33*(League!$P$7/League!$Q$7)))</f>
        <v>3.3324515535742392</v>
      </c>
      <c r="AG33" s="34">
        <f>(1.19*AE33-0.056*AF33+1.71)*League!$AB$7</f>
        <v>9.5340328057417256</v>
      </c>
      <c r="AH33" s="17">
        <f>IF(OR(League!$Q$6="",League!$Q$6=0),"",(League!$Y$6*(League!$P$6/League!$Q$6)))</f>
        <v>4.0745235060076688</v>
      </c>
      <c r="AI33" s="17">
        <f>IF(OR(League!$Q$7="",League!$Q$7=0,AA33="",AA33=0,F33="",F33=0,League!$G$6="",League!$G$6=0,League!$Q$8="",League!$Q$8=0),"",((Z33/(AA33/100)/9*(League!$P$7/League!$Q$7)*(M33/F33)+(League!$M$6/League!$G$6-M33/F33)*(League!$Y$8/9*League!$P$8/League!$Q$8))/(League!$M$6/League!$G$6)*9))</f>
        <v>3.4955271353194304</v>
      </c>
      <c r="AJ33" s="17">
        <f>IF(AH33="","",((AH33+AI33)^0.287))</f>
        <v>1.7877276253052812</v>
      </c>
      <c r="AK33" s="21">
        <f>IF(AM33="","",(AM33*F33))</f>
        <v>18.178422312283068</v>
      </c>
      <c r="AL33" s="21">
        <f>IF(AK33="","",(F33-AK33))</f>
        <v>13.821577687716932</v>
      </c>
      <c r="AM33" s="20">
        <f>IF(AJ33="","",(AH33^AJ33/(AH33^AJ33+AI33^AJ33)))</f>
        <v>0.56807569725884588</v>
      </c>
      <c r="AN33" s="21">
        <f>IF(OR(AG33="",AG33=0),"",IF(((M33/AG33)&gt;=F33),AK33,IF(OR(AM33=1,(AK33-(F33-M33/AG33)*League!$AA$8)&gt;=AK33),AK33,IF(OR(AM33=0,(AK33-(F33-M33/AG33)*League!$AA$8)&lt;=0),0,(AK33-(F33-M33/AG33)*League!$AA$8)))))</f>
        <v>13.175380734537558</v>
      </c>
      <c r="AO33" s="21">
        <f>IF(OR(AG33="",AG33=0),"",IF((M33/AG33)&gt;=F33,AL33,(M33/AG33-AN33)))</f>
        <v>8.9209001320224814</v>
      </c>
      <c r="AP33" s="20">
        <f>IF(OR(AN33="",(AN33+AO33)=0),"",(AN33/(AN33+AO33)))</f>
        <v>0.59627141843932885</v>
      </c>
      <c r="AQ33" s="22">
        <f>IF(AN33="","",((C33-AN33)+(AO33-D33)))</f>
        <v>2.745519397484923</v>
      </c>
    </row>
    <row r="34" spans="1:43" x14ac:dyDescent="0.3">
      <c r="A34" s="15" t="s">
        <v>134</v>
      </c>
      <c r="B34" s="16" t="s">
        <v>99</v>
      </c>
      <c r="C34" s="16">
        <v>12</v>
      </c>
      <c r="D34" s="16">
        <v>11</v>
      </c>
      <c r="E34" s="17">
        <f>IF(OR(M34="",M34=0),"",(R34/M34*9))</f>
        <v>3.6180904522613067</v>
      </c>
      <c r="F34" s="16">
        <v>32</v>
      </c>
      <c r="G34" s="16">
        <v>32</v>
      </c>
      <c r="H34" s="16">
        <v>2</v>
      </c>
      <c r="I34" s="16">
        <v>0</v>
      </c>
      <c r="J34" s="16">
        <v>0</v>
      </c>
      <c r="K34" s="16">
        <v>0</v>
      </c>
      <c r="L34" s="16">
        <v>0</v>
      </c>
      <c r="M34" s="18">
        <f>IF(N34="","",(INT(N34)+(N34-INT(N34))*10/3))</f>
        <v>199</v>
      </c>
      <c r="N34" s="16">
        <v>199</v>
      </c>
      <c r="O34" s="16">
        <v>841</v>
      </c>
      <c r="P34" s="16">
        <v>208</v>
      </c>
      <c r="Q34" s="16">
        <v>84</v>
      </c>
      <c r="R34" s="16">
        <v>80</v>
      </c>
      <c r="S34" s="16">
        <v>24</v>
      </c>
      <c r="T34" s="16">
        <v>47</v>
      </c>
      <c r="U34" s="16">
        <v>0</v>
      </c>
      <c r="V34" s="16">
        <v>7</v>
      </c>
      <c r="W34" s="16">
        <v>4</v>
      </c>
      <c r="X34" s="16">
        <v>0</v>
      </c>
      <c r="Y34" s="16">
        <v>142</v>
      </c>
      <c r="Z34" s="17">
        <f>IF(OR(M34="",M34=0),"",((13*S34+3*(T34+V34)-2*Y34)/M34+League!$Y$2))</f>
        <v>4.0026281760052553</v>
      </c>
      <c r="AA34" s="16">
        <f>VLOOKUP(B34,BPF!$A$2:$B$31,2,FALSE)</f>
        <v>96</v>
      </c>
      <c r="AB34" s="19">
        <f>IF(OR(E34="",E34=0),"",(E34/(League!$E$6*AA34/100)*100))</f>
        <v>100.81321821842609</v>
      </c>
      <c r="AC34" s="19">
        <f>IF(OR(Z34="",Z34=0),"",(Z34/(League!$Y$6*AA34/100)*100))</f>
        <v>110.71789337526164</v>
      </c>
      <c r="AD34" s="20">
        <f>IF(OR((C34+D34)="",(C34+D34)=0),"",(C34/(C34+D34)))</f>
        <v>0.52173913043478259</v>
      </c>
      <c r="AE34" s="17">
        <f>IF(OR(F34="",F34=0),"",(M34/F34))</f>
        <v>6.21875</v>
      </c>
      <c r="AF34" s="17">
        <f>IF(OR(AA34="",AA34=0,League!$Q$7="",League!$Q$7=0),"",(Z34*100/AA34*(League!$P$7/League!$Q$7)))</f>
        <v>4.5198426841451518</v>
      </c>
      <c r="AG34" s="34">
        <f>(1.19*AE34-0.056*AF34+1.71)*League!$AB$7</f>
        <v>9.0242481687691889</v>
      </c>
      <c r="AH34" s="17">
        <f>IF(OR(League!$Q$6="",League!$Q$6=0),"",(League!$Y$6*(League!$P$6/League!$Q$6)))</f>
        <v>4.0745235060076688</v>
      </c>
      <c r="AI34" s="17">
        <f>IF(OR(League!$Q$7="",League!$Q$7=0,AA34="",AA34=0,F34="",F34=0,League!$G$6="",League!$G$6=0,League!$Q$8="",League!$Q$8=0),"",((Z34/(AA34/100)/9*(League!$P$7/League!$Q$7)*(M34/F34)+(League!$M$6/League!$G$6-M34/F34)*(League!$Y$8/9*League!$P$8/League!$Q$8))/(League!$M$6/League!$G$6)*9))</f>
        <v>4.3415298930245632</v>
      </c>
      <c r="AJ34" s="17">
        <f>IF(AH34="","",((AH34+AI34)^0.287))</f>
        <v>1.8429185201459581</v>
      </c>
      <c r="AK34" s="21">
        <f>IF(AM34="","",(AM34*F34))</f>
        <v>15.065261266926246</v>
      </c>
      <c r="AL34" s="21">
        <f>IF(AK34="","",(F34-AK34))</f>
        <v>16.934738733073754</v>
      </c>
      <c r="AM34" s="20">
        <f>IF(AJ34="","",(AH34^AJ34/(AH34^AJ34+AI34^AJ34)))</f>
        <v>0.47078941459144519</v>
      </c>
      <c r="AN34" s="21">
        <f>IF(OR(AG34="",AG34=0),"",IF(((M34/AG34)&gt;=F34),AK34,IF(OR(AM34=1,(AK34-(F34-M34/AG34)*League!$AA$8)&gt;=AK34),AK34,IF(OR(AM34=0,(AK34-(F34-M34/AG34)*League!$AA$8)&lt;=0),0,(AK34-(F34-M34/AG34)*League!$AA$8)))))</f>
        <v>10.039698116884452</v>
      </c>
      <c r="AO34" s="21">
        <f>IF(OR(AG34="",AG34=0),"",IF((M34/AG34)&gt;=F34,AL34,(M34/AG34-AN34)))</f>
        <v>12.012000404516193</v>
      </c>
      <c r="AP34" s="20">
        <f>IF(OR(AN34="",(AN34+AO34)=0),"",(AN34/(AN34+AO34)))</f>
        <v>0.45528003691603008</v>
      </c>
      <c r="AQ34" s="22">
        <f>IF(AN34="","",((C34-AN34)+(AO34-D34)))</f>
        <v>2.9723022876317415</v>
      </c>
    </row>
    <row r="35" spans="1:43" x14ac:dyDescent="0.3">
      <c r="A35" s="15" t="s">
        <v>107</v>
      </c>
      <c r="B35" s="16" t="s">
        <v>90</v>
      </c>
      <c r="C35" s="16">
        <v>14</v>
      </c>
      <c r="D35" s="16">
        <v>8</v>
      </c>
      <c r="E35" s="17">
        <f>IF(OR(M35="",M35=0),"",(R35/M35*9))</f>
        <v>3.4128000000000003</v>
      </c>
      <c r="F35" s="16">
        <v>32</v>
      </c>
      <c r="G35" s="16">
        <v>32</v>
      </c>
      <c r="H35" s="16">
        <v>3</v>
      </c>
      <c r="I35" s="16">
        <v>0</v>
      </c>
      <c r="J35" s="16">
        <v>0</v>
      </c>
      <c r="K35" s="16">
        <v>0</v>
      </c>
      <c r="L35" s="16">
        <v>0</v>
      </c>
      <c r="M35" s="18">
        <f>IF(N35="","",(INT(N35)+(N35-INT(N35))*10/3))</f>
        <v>208.33333333333331</v>
      </c>
      <c r="N35" s="16">
        <v>208.1</v>
      </c>
      <c r="O35" s="16">
        <v>860</v>
      </c>
      <c r="P35" s="16">
        <v>189</v>
      </c>
      <c r="Q35" s="16">
        <v>81</v>
      </c>
      <c r="R35" s="16">
        <v>79</v>
      </c>
      <c r="S35" s="16">
        <v>19</v>
      </c>
      <c r="T35" s="16">
        <v>54</v>
      </c>
      <c r="U35" s="16">
        <v>1</v>
      </c>
      <c r="V35" s="16">
        <v>9</v>
      </c>
      <c r="W35" s="16">
        <v>13</v>
      </c>
      <c r="X35" s="16">
        <v>0</v>
      </c>
      <c r="Y35" s="16">
        <v>178</v>
      </c>
      <c r="Z35" s="17">
        <f>IF(OR(M35="",M35=0),"",((13*S35+3*(T35+V35)-2*Y35)/M35+League!$Y$2))</f>
        <v>3.4318543066585212</v>
      </c>
      <c r="AA35" s="16">
        <f>VLOOKUP(B35,BPF!$A$2:$B$31,2,FALSE)</f>
        <v>104</v>
      </c>
      <c r="AB35" s="19">
        <f>IF(OR(E35="",E35=0),"",(E35/(League!$E$6*AA35/100)*100))</f>
        <v>87.778224200042402</v>
      </c>
      <c r="AC35" s="19">
        <f>IF(OR(Z35="",Z35=0),"",(Z35/(League!$Y$6*AA35/100)*100))</f>
        <v>87.627274072307898</v>
      </c>
      <c r="AD35" s="20">
        <f>IF(OR((C35+D35)="",(C35+D35)=0),"",(C35/(C35+D35)))</f>
        <v>0.63636363636363635</v>
      </c>
      <c r="AE35" s="17">
        <f>IF(OR(F35="",F35=0),"",(M35/F35))</f>
        <v>6.5104166666666661</v>
      </c>
      <c r="AF35" s="17">
        <f>IF(OR(AA35="",AA35=0,League!$Q$7="",League!$Q$7=0),"",(Z35*100/AA35*(League!$P$7/League!$Q$7)))</f>
        <v>3.5772130553903532</v>
      </c>
      <c r="AG35" s="34">
        <f>(1.19*AE35-0.056*AF35+1.71)*League!$AB$7</f>
        <v>9.431660322601493</v>
      </c>
      <c r="AH35" s="17">
        <f>IF(OR(League!$Q$6="",League!$Q$6=0),"",(League!$Y$6*(League!$P$6/League!$Q$6)))</f>
        <v>4.0745235060076688</v>
      </c>
      <c r="AI35" s="17">
        <f>IF(OR(League!$Q$7="",League!$Q$7=0,AA35="",AA35=0,F35="",F35=0,League!$G$6="",League!$G$6=0,League!$Q$8="",League!$Q$8=0),"",((Z35/(AA35/100)/9*(League!$P$7/League!$Q$7)*(M35/F35)+(League!$M$6/League!$G$6-M35/F35)*(League!$Y$8/9*League!$P$8/League!$Q$8))/(League!$M$6/League!$G$6)*9))</f>
        <v>3.6777057645993105</v>
      </c>
      <c r="AJ35" s="17">
        <f>IF(AH35="","",((AH35+AI35)^0.287))</f>
        <v>1.799970703793059</v>
      </c>
      <c r="AK35" s="21">
        <f>IF(AM35="","",(AM35*F35))</f>
        <v>17.471299201066632</v>
      </c>
      <c r="AL35" s="21">
        <f>IF(AK35="","",(F35-AK35))</f>
        <v>14.528700798933368</v>
      </c>
      <c r="AM35" s="20">
        <f>IF(AJ35="","",(AH35^AJ35/(AH35^AJ35+AI35^AJ35)))</f>
        <v>0.54597810003333225</v>
      </c>
      <c r="AN35" s="21">
        <f>IF(OR(AG35="",AG35=0),"",IF(((M35/AG35)&gt;=F35),AK35,IF(OR(AM35=1,(AK35-(F35-M35/AG35)*League!$AA$8)&gt;=AK35),AK35,IF(OR(AM35=0,(AK35-(F35-M35/AG35)*League!$AA$8)&lt;=0),0,(AK35-(F35-M35/AG35)*League!$AA$8)))))</f>
        <v>12.464439686857792</v>
      </c>
      <c r="AO35" s="21">
        <f>IF(OR(AG35="",AG35=0),"",IF((M35/AG35)&gt;=F35,AL35,(M35/AG35-AN35)))</f>
        <v>9.6242834231226642</v>
      </c>
      <c r="AP35" s="20">
        <f>IF(OR(AN35="",(AN35+AO35)=0),"",(AN35/(AN35+AO35)))</f>
        <v>0.56428973394238091</v>
      </c>
      <c r="AQ35" s="22">
        <f>IF(AN35="","",((C35-AN35)+(AO35-D35)))</f>
        <v>3.1598437362648717</v>
      </c>
    </row>
    <row r="36" spans="1:43" x14ac:dyDescent="0.3">
      <c r="A36" s="15" t="s">
        <v>117</v>
      </c>
      <c r="B36" s="16" t="s">
        <v>96</v>
      </c>
      <c r="C36" s="16">
        <v>14</v>
      </c>
      <c r="D36" s="16">
        <v>8</v>
      </c>
      <c r="E36" s="17">
        <f>IF(OR(M36="",M36=0),"",(R36/M36*9))</f>
        <v>3</v>
      </c>
      <c r="F36" s="16">
        <v>30</v>
      </c>
      <c r="G36" s="16">
        <v>30</v>
      </c>
      <c r="H36" s="16">
        <v>2</v>
      </c>
      <c r="I36" s="16">
        <v>1</v>
      </c>
      <c r="J36" s="16">
        <v>0</v>
      </c>
      <c r="K36" s="16">
        <v>0</v>
      </c>
      <c r="L36" s="16">
        <v>0</v>
      </c>
      <c r="M36" s="18">
        <f>IF(N36="","",(INT(N36)+(N36-INT(N36))*10/3))</f>
        <v>192</v>
      </c>
      <c r="N36" s="16">
        <v>192</v>
      </c>
      <c r="O36" s="16">
        <v>783</v>
      </c>
      <c r="P36" s="16">
        <v>182</v>
      </c>
      <c r="Q36" s="16">
        <v>67</v>
      </c>
      <c r="R36" s="16">
        <v>64</v>
      </c>
      <c r="S36" s="16">
        <v>15</v>
      </c>
      <c r="T36" s="16">
        <v>49</v>
      </c>
      <c r="U36" s="16">
        <v>4</v>
      </c>
      <c r="V36" s="16">
        <v>1</v>
      </c>
      <c r="W36" s="16">
        <v>5</v>
      </c>
      <c r="X36" s="16">
        <v>0</v>
      </c>
      <c r="Y36" s="16">
        <v>154</v>
      </c>
      <c r="Z36" s="17">
        <f>IF(OR(M36="",M36=0),"",((13*S36+3*(T36+V36)-2*Y36)/M36+League!$Y$2))</f>
        <v>3.2405626399918548</v>
      </c>
      <c r="AA36" s="16">
        <f>VLOOKUP(B36,BPF!$A$2:$B$31,2,FALSE)</f>
        <v>95</v>
      </c>
      <c r="AB36" s="19">
        <f>IF(OR(E36="",E36=0),"",(E36/(League!$E$6*AA36/100)*100))</f>
        <v>84.470864949333844</v>
      </c>
      <c r="AC36" s="19">
        <f>IF(OR(Z36="",Z36=0),"",(Z36/(League!$Y$6*AA36/100)*100))</f>
        <v>90.581730684713278</v>
      </c>
      <c r="AD36" s="20">
        <f>IF(OR((C36+D36)="",(C36+D36)=0),"",(C36/(C36+D36)))</f>
        <v>0.63636363636363635</v>
      </c>
      <c r="AE36" s="17">
        <f>IF(OR(F36="",F36=0),"",(M36/F36))</f>
        <v>6.4</v>
      </c>
      <c r="AF36" s="17">
        <f>IF(OR(AA36="",AA36=0,League!$Q$7="",League!$Q$7=0),"",(Z36*100/AA36*(League!$P$7/League!$Q$7)))</f>
        <v>3.6978230010650286</v>
      </c>
      <c r="AG36" s="34">
        <f>(1.19*AE36-0.056*AF36+1.71)*League!$AB$7</f>
        <v>9.2909048228324576</v>
      </c>
      <c r="AH36" s="17">
        <f>IF(OR(League!$Q$6="",League!$Q$6=0),"",(League!$Y$6*(League!$P$6/League!$Q$6)))</f>
        <v>4.0745235060076688</v>
      </c>
      <c r="AI36" s="17">
        <f>IF(OR(League!$Q$7="",League!$Q$7=0,AA36="",AA36=0,F36="",F36=0,League!$G$6="",League!$G$6=0,League!$Q$8="",League!$Q$8=0),"",((Z36/(AA36/100)/9*(League!$P$7/League!$Q$7)*(M36/F36)+(League!$M$6/League!$G$6-M36/F36)*(League!$Y$8/9*League!$P$8/League!$Q$8))/(League!$M$6/League!$G$6)*9))</f>
        <v>3.7680355815278546</v>
      </c>
      <c r="AJ36" s="17">
        <f>IF(AH36="","",((AH36+AI36)^0.287))</f>
        <v>1.8059652457862199</v>
      </c>
      <c r="AK36" s="21">
        <f>IF(AM36="","",(AM36*F36))</f>
        <v>16.057441773748302</v>
      </c>
      <c r="AL36" s="21">
        <f>IF(AK36="","",(F36-AK36))</f>
        <v>13.942558226251698</v>
      </c>
      <c r="AM36" s="20">
        <f>IF(AJ36="","",(AH36^AJ36/(AH36^AJ36+AI36^AJ36)))</f>
        <v>0.53524805912494344</v>
      </c>
      <c r="AN36" s="21">
        <f>IF(OR(AG36="",AG36=0),"",IF(((M36/AG36)&gt;=F36),AK36,IF(OR(AM36=1,(AK36-(F36-M36/AG36)*League!$AA$8)&gt;=AK36),AK36,IF(OR(AM36=0,(AK36-(F36-M36/AG36)*League!$AA$8)&lt;=0),0,(AK36-(F36-M36/AG36)*League!$AA$8)))))</f>
        <v>11.341886563998148</v>
      </c>
      <c r="AO36" s="21">
        <f>IF(OR(AG36="",AG36=0),"",IF((M36/AG36)&gt;=F36,AL36,(M36/AG36-AN36)))</f>
        <v>9.3234849645271218</v>
      </c>
      <c r="AP36" s="20">
        <f>IF(OR(AN36="",(AN36+AO36)=0),"",(AN36/(AN36+AO36)))</f>
        <v>0.54883535717431797</v>
      </c>
      <c r="AQ36" s="22">
        <f>IF(AN36="","",((C36-AN36)+(AO36-D36)))</f>
        <v>3.9815984005289735</v>
      </c>
    </row>
    <row r="37" spans="1:43" x14ac:dyDescent="0.3">
      <c r="A37" s="15" t="s">
        <v>108</v>
      </c>
      <c r="B37" s="16" t="s">
        <v>101</v>
      </c>
      <c r="C37" s="16">
        <v>10</v>
      </c>
      <c r="D37" s="16">
        <v>7</v>
      </c>
      <c r="E37" s="17">
        <f>IF(OR(M37="",M37=0),"",(R37/M37*9))</f>
        <v>3.5170340681362733</v>
      </c>
      <c r="F37" s="16">
        <v>30</v>
      </c>
      <c r="G37" s="16">
        <v>30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8">
        <f>IF(N37="","",(INT(N37)+(N37-INT(N37))*10/3))</f>
        <v>166.33333333333331</v>
      </c>
      <c r="N37" s="16">
        <v>166.1</v>
      </c>
      <c r="O37" s="16">
        <v>711</v>
      </c>
      <c r="P37" s="16">
        <v>146</v>
      </c>
      <c r="Q37" s="16">
        <v>69</v>
      </c>
      <c r="R37" s="16">
        <v>65</v>
      </c>
      <c r="S37" s="16">
        <v>11</v>
      </c>
      <c r="T37" s="43">
        <v>84</v>
      </c>
      <c r="U37" s="16">
        <v>4</v>
      </c>
      <c r="V37" s="16">
        <v>6</v>
      </c>
      <c r="W37" s="16">
        <v>8</v>
      </c>
      <c r="X37" s="16">
        <v>2</v>
      </c>
      <c r="Y37" s="16">
        <v>125</v>
      </c>
      <c r="Z37" s="17">
        <f>IF(OR(M37="",M37=0),"",((13*S37+3*(T37+V37)-2*Y37)/M37+League!$Y$2))</f>
        <v>4.0278142264982009</v>
      </c>
      <c r="AA37" s="16">
        <f>VLOOKUP(B37,BPF!$A$2:$B$31,2,FALSE)</f>
        <v>97</v>
      </c>
      <c r="AB37" s="19">
        <f>IF(OR(E37="",E37=0),"",(E37/(League!$E$6*AA37/100)*100))</f>
        <v>96.987135499023395</v>
      </c>
      <c r="AC37" s="19">
        <f>IF(OR(Z37="",Z37=0),"",(Z37/(League!$Y$6*AA37/100)*100))</f>
        <v>110.26596840232408</v>
      </c>
      <c r="AD37" s="20">
        <f>IF(OR((C37+D37)="",(C37+D37)=0),"",(C37/(C37+D37)))</f>
        <v>0.58823529411764708</v>
      </c>
      <c r="AE37" s="17">
        <f>IF(OR(F37="",F37=0),"",(M37/F37))</f>
        <v>5.5444444444444434</v>
      </c>
      <c r="AF37" s="17">
        <f>IF(OR(AA37="",AA37=0,League!$Q$7="",League!$Q$7=0),"",(Z37*100/AA37*(League!$P$7/League!$Q$7)))</f>
        <v>4.501393725982707</v>
      </c>
      <c r="AG37" s="34">
        <f>(1.19*AE37-0.056*AF37+1.71)*League!$AB$7</f>
        <v>8.207743471226717</v>
      </c>
      <c r="AH37" s="17">
        <f>IF(OR(League!$Q$6="",League!$Q$6=0),"",(League!$Y$6*(League!$P$6/League!$Q$6)))</f>
        <v>4.0745235060076688</v>
      </c>
      <c r="AI37" s="17">
        <f>IF(OR(League!$Q$7="",League!$Q$7=0,AA37="",AA37=0,F37="",F37=0,League!$G$6="",League!$G$6=0,League!$Q$8="",League!$Q$8=0),"",((Z37/(AA37/100)/9*(League!$P$7/League!$Q$7)*(M37/F37)+(League!$M$6/League!$G$6-M37/F37)*(League!$Y$8/9*League!$P$8/League!$Q$8))/(League!$M$6/League!$G$6)*9))</f>
        <v>4.2867757624755196</v>
      </c>
      <c r="AJ37" s="17">
        <f>IF(AH37="","",((AH37+AI37)^0.287))</f>
        <v>1.8394694160316465</v>
      </c>
      <c r="AK37" s="21">
        <f>IF(AM37="","",(AM37*F37))</f>
        <v>14.299932257897691</v>
      </c>
      <c r="AL37" s="21">
        <f>IF(AK37="","",(F37-AK37))</f>
        <v>15.700067742102309</v>
      </c>
      <c r="AM37" s="20">
        <f>IF(AJ37="","",(AH37^AJ37/(AH37^AJ37+AI37^AJ37)))</f>
        <v>0.47666440859658971</v>
      </c>
      <c r="AN37" s="21">
        <f>IF(OR(AG37="",AG37=0),"",IF(((M37/AG37)&gt;=F37),AK37,IF(OR(AM37=1,(AK37-(F37-M37/AG37)*League!$AA$8)&gt;=AK37),AK37,IF(OR(AM37=0,(AK37-(F37-M37/AG37)*League!$AA$8)&lt;=0),0,(AK37-(F37-M37/AG37)*League!$AA$8)))))</f>
        <v>9.3823321743881003</v>
      </c>
      <c r="AO37" s="21">
        <f>IF(OR(AG37="",AG37=0),"",IF((M37/AG37)&gt;=F37,AL37,(M37/AG37-AN37)))</f>
        <v>10.883083517078848</v>
      </c>
      <c r="AP37" s="20">
        <f>IF(OR(AN37="",(AN37+AO37)=0),"",(AN37/(AN37+AO37)))</f>
        <v>0.46297259909347277</v>
      </c>
      <c r="AQ37" s="22">
        <f>IF(AN37="","",((C37-AN37)+(AO37-D37)))</f>
        <v>4.5007513426907479</v>
      </c>
    </row>
    <row r="38" spans="1:43" x14ac:dyDescent="0.3">
      <c r="A38" s="15" t="s">
        <v>127</v>
      </c>
      <c r="B38" s="16" t="s">
        <v>93</v>
      </c>
      <c r="C38" s="16">
        <v>14</v>
      </c>
      <c r="D38" s="16">
        <v>12</v>
      </c>
      <c r="E38" s="17">
        <f>IF(OR(M38="",M38=0),"",(R38/M38*9))</f>
        <v>3.7871287128712869</v>
      </c>
      <c r="F38" s="16">
        <v>32</v>
      </c>
      <c r="G38" s="16">
        <v>32</v>
      </c>
      <c r="H38" s="16">
        <v>2</v>
      </c>
      <c r="I38" s="16">
        <v>1</v>
      </c>
      <c r="J38" s="16">
        <v>0</v>
      </c>
      <c r="K38" s="16">
        <v>0</v>
      </c>
      <c r="L38" s="16">
        <v>0</v>
      </c>
      <c r="M38" s="18">
        <f>IF(N38="","",(INT(N38)+(N38-INT(N38))*10/3))</f>
        <v>202</v>
      </c>
      <c r="N38" s="16">
        <v>202</v>
      </c>
      <c r="O38" s="16">
        <v>823</v>
      </c>
      <c r="P38" s="16">
        <v>199</v>
      </c>
      <c r="Q38" s="16">
        <v>88</v>
      </c>
      <c r="R38" s="16">
        <v>85</v>
      </c>
      <c r="S38" s="43">
        <v>32</v>
      </c>
      <c r="T38" s="16">
        <v>34</v>
      </c>
      <c r="U38" s="16">
        <v>2</v>
      </c>
      <c r="V38" s="16">
        <v>7</v>
      </c>
      <c r="W38" s="16">
        <v>1</v>
      </c>
      <c r="X38" s="16">
        <v>2</v>
      </c>
      <c r="Y38" s="16">
        <v>124</v>
      </c>
      <c r="Z38" s="17">
        <f>IF(OR(M38="",M38=0),"",((13*S38+3*(T38+V38)-2*Y38)/M38+League!$Y$2))</f>
        <v>4.4884483660644623</v>
      </c>
      <c r="AA38" s="16">
        <f>VLOOKUP(B38,BPF!$A$2:$B$31,2,FALSE)</f>
        <v>101</v>
      </c>
      <c r="AB38" s="19">
        <f>IF(OR(E38="",E38=0),"",(E38/(League!$E$6*AA38/100)*100))</f>
        <v>100.29931886077897</v>
      </c>
      <c r="AC38" s="19">
        <f>IF(OR(Z38="",Z38=0),"",(Z38/(League!$Y$6*AA38/100)*100))</f>
        <v>118.00995872732507</v>
      </c>
      <c r="AD38" s="20">
        <f>IF(OR((C38+D38)="",(C38+D38)=0),"",(C38/(C38+D38)))</f>
        <v>0.53846153846153844</v>
      </c>
      <c r="AE38" s="17">
        <f>IF(OR(F38="",F38=0),"",(M38/F38))</f>
        <v>6.3125</v>
      </c>
      <c r="AF38" s="17">
        <f>IF(OR(AA38="",AA38=0,League!$Q$7="",League!$Q$7=0),"",(Z38*100/AA38*(League!$P$7/League!$Q$7)))</f>
        <v>4.8175270712759906</v>
      </c>
      <c r="AG38" s="34">
        <f>(1.19*AE38-0.056*AF38+1.71)*League!$AB$7</f>
        <v>9.1209300099515946</v>
      </c>
      <c r="AH38" s="17">
        <f>IF(OR(League!$Q$6="",League!$Q$6=0),"",(League!$Y$6*(League!$P$6/League!$Q$6)))</f>
        <v>4.0745235060076688</v>
      </c>
      <c r="AI38" s="17">
        <f>IF(OR(League!$Q$7="",League!$Q$7=0,AA38="",AA38=0,F38="",F38=0,League!$G$6="",League!$G$6=0,League!$Q$8="",League!$Q$8=0),"",((Z38/(AA38/100)/9*(League!$P$7/League!$Q$7)*(M38/F38)+(League!$M$6/League!$G$6-M38/F38)*(League!$Y$8/9*League!$P$8/League!$Q$8))/(League!$M$6/League!$G$6)*9))</f>
        <v>4.5565698070641849</v>
      </c>
      <c r="AJ38" s="17">
        <f>IF(AH38="","",((AH38+AI38)^0.287))</f>
        <v>1.8563116404058002</v>
      </c>
      <c r="AK38" s="21">
        <f>IF(AM38="","",(AM38*F38))</f>
        <v>14.345409076529336</v>
      </c>
      <c r="AL38" s="51">
        <f>IF(AK38="","",(F38-AK38))</f>
        <v>17.654590923470664</v>
      </c>
      <c r="AM38" s="20">
        <f>IF(AJ38="","",(AH38^AJ38/(AH38^AJ38+AI38^AJ38)))</f>
        <v>0.44829403364154174</v>
      </c>
      <c r="AN38" s="21">
        <f>IF(OR(AG38="",AG38=0),"",IF(((M38/AG38)&gt;=F38),AK38,IF(OR(AM38=1,(AK38-(F38-M38/AG38)*League!$AA$8)&gt;=AK38),AK38,IF(OR(AM38=0,(AK38-(F38-M38/AG38)*League!$AA$8)&lt;=0),0,(AK38-(F38-M38/AG38)*League!$AA$8)))))</f>
        <v>9.3679206717864325</v>
      </c>
      <c r="AO38" s="21">
        <f>IF(OR(AG38="",AG38=0),"",IF((M38/AG38)&gt;=F38,AL38,(M38/AG38-AN38)))</f>
        <v>12.778943713709715</v>
      </c>
      <c r="AP38" s="20">
        <f>IF(OR(AN38="",(AN38+AO38)=0),"",(AN38/(AN38+AO38)))</f>
        <v>0.42299083557496425</v>
      </c>
      <c r="AQ38" s="22">
        <f>IF(AN38="","",((C38-AN38)+(AO38-D38)))</f>
        <v>5.4110230419232828</v>
      </c>
    </row>
    <row r="39" spans="1:43" x14ac:dyDescent="0.3">
      <c r="A39" s="15" t="s">
        <v>120</v>
      </c>
      <c r="B39" s="16" t="s">
        <v>91</v>
      </c>
      <c r="C39" s="16">
        <v>14</v>
      </c>
      <c r="D39" s="16">
        <v>8</v>
      </c>
      <c r="E39" s="17">
        <f>IF(OR(M39="",M39=0),"",(R39/M39*9))</f>
        <v>3.1992818671454226</v>
      </c>
      <c r="F39" s="16">
        <v>30</v>
      </c>
      <c r="G39" s="16">
        <v>30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8">
        <f>IF(N39="","",(INT(N39)+(N39-INT(N39))*10/3))</f>
        <v>185.66666666666663</v>
      </c>
      <c r="N39" s="16">
        <v>185.2</v>
      </c>
      <c r="O39" s="16">
        <v>774</v>
      </c>
      <c r="P39" s="16">
        <v>173</v>
      </c>
      <c r="Q39" s="16">
        <v>69</v>
      </c>
      <c r="R39" s="16">
        <v>66</v>
      </c>
      <c r="S39" s="16">
        <v>22</v>
      </c>
      <c r="T39" s="16">
        <v>45</v>
      </c>
      <c r="U39" s="16">
        <v>4</v>
      </c>
      <c r="V39" s="16">
        <v>13</v>
      </c>
      <c r="W39" s="16">
        <v>2</v>
      </c>
      <c r="X39" s="16">
        <v>0</v>
      </c>
      <c r="Y39" s="16">
        <v>170</v>
      </c>
      <c r="Z39" s="17">
        <f>IF(OR(M39="",M39=0),"",((13*S39+3*(T39+V39)-2*Y39)/M39+League!$Y$2))</f>
        <v>3.6941738757788087</v>
      </c>
      <c r="AA39" s="16">
        <f>VLOOKUP(B39,BPF!$A$2:$B$31,2,FALSE)</f>
        <v>99</v>
      </c>
      <c r="AB39" s="19">
        <f>IF(OR(E39="",E39=0),"",(E39/(League!$E$6*AA39/100)*100))</f>
        <v>86.442357309013119</v>
      </c>
      <c r="AC39" s="19">
        <f>IF(OR(Z39="",Z39=0),"",(Z39/(League!$Y$6*AA39/100)*100))</f>
        <v>99.089112102547233</v>
      </c>
      <c r="AD39" s="20">
        <f>IF(OR((C39+D39)="",(C39+D39)=0),"",(C39/(C39+D39)))</f>
        <v>0.63636363636363635</v>
      </c>
      <c r="AE39" s="17">
        <f>IF(OR(F39="",F39=0),"",(M39/F39))</f>
        <v>6.1888888888888873</v>
      </c>
      <c r="AF39" s="17">
        <f>IF(OR(AA39="",AA39=0,League!$Q$7="",League!$Q$7=0),"",(Z39*100/AA39*(League!$P$7/League!$Q$7)))</f>
        <v>4.0451203031578506</v>
      </c>
      <c r="AG39" s="34">
        <f>(1.19*AE39-0.056*AF39+1.71)*League!$AB$7</f>
        <v>9.0151290977682184</v>
      </c>
      <c r="AH39" s="17">
        <f>IF(OR(League!$Q$6="",League!$Q$6=0),"",(League!$Y$6*(League!$P$6/League!$Q$6)))</f>
        <v>4.0745235060076688</v>
      </c>
      <c r="AI39" s="17">
        <f>IF(OR(League!$Q$7="",League!$Q$7=0,AA39="",AA39=0,F39="",F39=0,League!$G$6="",League!$G$6=0,League!$Q$8="",League!$Q$8=0),"",((Z39/(AA39/100)/9*(League!$P$7/League!$Q$7)*(M39/F39)+(League!$M$6/League!$G$6-M39/F39)*(League!$Y$8/9*League!$P$8/League!$Q$8))/(League!$M$6/League!$G$6)*9))</f>
        <v>4.0128253971831773</v>
      </c>
      <c r="AJ39" s="17">
        <f>IF(AH39="","",((AH39+AI39)^0.287))</f>
        <v>1.8219664418581951</v>
      </c>
      <c r="AK39" s="21">
        <f>IF(AM39="","",(AM39*F39))</f>
        <v>15.208486415242874</v>
      </c>
      <c r="AL39" s="21">
        <f>IF(AK39="","",(F39-AK39))</f>
        <v>14.791513584757126</v>
      </c>
      <c r="AM39" s="20">
        <f>IF(AJ39="","",(AH39^AJ39/(AH39^AJ39+AI39^AJ39)))</f>
        <v>0.50694954717476248</v>
      </c>
      <c r="AN39" s="21">
        <f>IF(OR(AG39="",AG39=0),"",IF(((M39/AG39)&gt;=F39),AK39,IF(OR(AM39=1,(AK39-(F39-M39/AG39)*League!$AA$8)&gt;=AK39),AK39,IF(OR(AM39=0,(AK39-(F39-M39/AG39)*League!$AA$8)&lt;=0),0,(AK39-(F39-M39/AG39)*League!$AA$8)))))</f>
        <v>10.45738640932462</v>
      </c>
      <c r="AO39" s="21">
        <f>IF(OR(AG39="",AG39=0),"",IF((M39/AG39)&gt;=F39,AL39,(M39/AG39-AN39)))</f>
        <v>10.137622786121089</v>
      </c>
      <c r="AP39" s="20">
        <f>IF(OR(AN39="",(AN39+AO39)=0),"",(AN39/(AN39+AO39)))</f>
        <v>0.50776313378083471</v>
      </c>
      <c r="AQ39" s="22">
        <f>IF(AN39="","",((C39-AN39)+(AO39-D39)))</f>
        <v>5.6802363767964685</v>
      </c>
    </row>
    <row r="40" spans="1:43" x14ac:dyDescent="0.3">
      <c r="A40" s="15" t="s">
        <v>115</v>
      </c>
      <c r="B40" s="16" t="s">
        <v>102</v>
      </c>
      <c r="C40" s="16">
        <v>15</v>
      </c>
      <c r="D40" s="16">
        <v>9</v>
      </c>
      <c r="E40" s="17">
        <f>IF(OR(M40="",M40=0),"",(R40/M40*9))</f>
        <v>3.0634615384615387</v>
      </c>
      <c r="F40" s="16">
        <v>31</v>
      </c>
      <c r="G40" s="16">
        <v>31</v>
      </c>
      <c r="H40" s="16">
        <v>1</v>
      </c>
      <c r="I40" s="16">
        <v>1</v>
      </c>
      <c r="J40" s="16">
        <v>0</v>
      </c>
      <c r="K40" s="16">
        <v>0</v>
      </c>
      <c r="L40" s="16">
        <v>0</v>
      </c>
      <c r="M40" s="18">
        <f>IF(N40="","",(INT(N40)+(N40-INT(N40))*10/3))</f>
        <v>173.33333333333331</v>
      </c>
      <c r="N40" s="16">
        <v>173.1</v>
      </c>
      <c r="O40" s="16">
        <v>722</v>
      </c>
      <c r="P40" s="16">
        <v>152</v>
      </c>
      <c r="Q40" s="16">
        <v>65</v>
      </c>
      <c r="R40" s="16">
        <v>59</v>
      </c>
      <c r="S40" s="16">
        <v>20</v>
      </c>
      <c r="T40" s="16">
        <v>57</v>
      </c>
      <c r="U40" s="16">
        <v>0</v>
      </c>
      <c r="V40" s="16">
        <v>5</v>
      </c>
      <c r="W40" s="16">
        <v>2</v>
      </c>
      <c r="X40" s="16">
        <v>0</v>
      </c>
      <c r="Y40" s="16">
        <v>169</v>
      </c>
      <c r="Z40" s="17">
        <f>IF(OR(M40="",M40=0),"",((13*S40+3*(T40+V40)-2*Y40)/M40+League!$Y$2))</f>
        <v>3.6709312297354444</v>
      </c>
      <c r="AA40" s="16">
        <f>VLOOKUP(B40,BPF!$A$2:$B$31,2,FALSE)</f>
        <v>97</v>
      </c>
      <c r="AB40" s="19">
        <f>IF(OR(E40="",E40=0),"",(E40/(League!$E$6*AA40/100)*100))</f>
        <v>84.479238349903767</v>
      </c>
      <c r="AC40" s="19">
        <f>IF(OR(Z40="",Z40=0),"",(Z40/(League!$Y$6*AA40/100)*100))</f>
        <v>100.49589286470879</v>
      </c>
      <c r="AD40" s="20">
        <f>IF(OR((C40+D40)="",(C40+D40)=0),"",(C40/(C40+D40)))</f>
        <v>0.625</v>
      </c>
      <c r="AE40" s="17">
        <f>IF(OR(F40="",F40=0),"",(M40/F40))</f>
        <v>5.5913978494623651</v>
      </c>
      <c r="AF40" s="17">
        <f>IF(OR(AA40="",AA40=0,League!$Q$7="",League!$Q$7=0),"",(Z40*100/AA40*(League!$P$7/League!$Q$7)))</f>
        <v>4.10254939200893</v>
      </c>
      <c r="AG40" s="34">
        <f>(1.19*AE40-0.056*AF40+1.71)*League!$AB$7</f>
        <v>8.2874283437567478</v>
      </c>
      <c r="AH40" s="17">
        <f>IF(OR(League!$Q$6="",League!$Q$6=0),"",(League!$Y$6*(League!$P$6/League!$Q$6)))</f>
        <v>4.0745235060076688</v>
      </c>
      <c r="AI40" s="17">
        <f>IF(OR(League!$Q$7="",League!$Q$7=0,AA40="",AA40=0,F40="",F40=0,League!$G$6="",League!$G$6=0,League!$Q$8="",League!$Q$8=0),"",((Z40/(AA40/100)/9*(League!$P$7/League!$Q$7)*(M40/F40)+(League!$M$6/League!$G$6-M40/F40)*(League!$Y$8/9*League!$P$8/League!$Q$8))/(League!$M$6/League!$G$6)*9))</f>
        <v>4.0416541661703169</v>
      </c>
      <c r="AJ40" s="17">
        <f>IF(AH40="","",((AH40+AI40)^0.287))</f>
        <v>1.8238280619410729</v>
      </c>
      <c r="AK40" s="21">
        <f>IF(AM40="","",(AM40*F40))</f>
        <v>15.61448524140137</v>
      </c>
      <c r="AL40" s="21">
        <f>IF(AK40="","",(F40-AK40))</f>
        <v>15.38551475859863</v>
      </c>
      <c r="AM40" s="20">
        <f>IF(AJ40="","",(AH40^AJ40/(AH40^AJ40+AI40^AJ40)))</f>
        <v>0.50369307230326998</v>
      </c>
      <c r="AN40" s="21">
        <f>IF(OR(AG40="",AG40=0),"",IF(((M40/AG40)&gt;=F40),AK40,IF(OR(AM40=1,(AK40-(F40-M40/AG40)*League!$AA$8)&gt;=AK40),AK40,IF(OR(AM40=0,(AK40-(F40-M40/AG40)*League!$AA$8)&lt;=0),0,(AK40-(F40-M40/AG40)*League!$AA$8)))))</f>
        <v>10.519974241324778</v>
      </c>
      <c r="AO40" s="21">
        <f>IF(OR(AG40="",AG40=0),"",IF((M40/AG40)&gt;=F40,AL40,(M40/AG40-AN40)))</f>
        <v>10.395239277705194</v>
      </c>
      <c r="AP40" s="20">
        <f>IF(OR(AN40="",(AN40+AO40)=0),"",(AN40/(AN40+AO40)))</f>
        <v>0.50298191944122617</v>
      </c>
      <c r="AQ40" s="22">
        <f>IF(AN40="","",((C40-AN40)+(AO40-D40)))</f>
        <v>5.8752650363804158</v>
      </c>
    </row>
    <row r="41" spans="1:43" x14ac:dyDescent="0.3">
      <c r="A41" s="15" t="s">
        <v>121</v>
      </c>
      <c r="B41" s="16" t="s">
        <v>98</v>
      </c>
      <c r="C41" s="43">
        <v>19</v>
      </c>
      <c r="D41" s="16">
        <v>9</v>
      </c>
      <c r="E41" s="17">
        <f>IF(OR(M41="",M41=0),"",(R41/M41*9))</f>
        <v>3.2484375000000001</v>
      </c>
      <c r="F41" s="16">
        <v>32</v>
      </c>
      <c r="G41" s="16">
        <v>32</v>
      </c>
      <c r="H41" s="16">
        <v>4</v>
      </c>
      <c r="I41" s="43">
        <v>2</v>
      </c>
      <c r="J41" s="16">
        <v>0</v>
      </c>
      <c r="K41" s="16">
        <v>0</v>
      </c>
      <c r="L41" s="16">
        <v>0</v>
      </c>
      <c r="M41" s="18">
        <f>IF(N41="","",(INT(N41)+(N41-INT(N41))*10/3))</f>
        <v>213.33333333333331</v>
      </c>
      <c r="N41" s="16">
        <v>213.1</v>
      </c>
      <c r="O41" s="16">
        <v>865</v>
      </c>
      <c r="P41" s="16">
        <v>192</v>
      </c>
      <c r="Q41" s="16">
        <v>81</v>
      </c>
      <c r="R41" s="16">
        <v>77</v>
      </c>
      <c r="S41" s="16">
        <v>19</v>
      </c>
      <c r="T41" s="16">
        <v>40</v>
      </c>
      <c r="U41" s="16">
        <v>0</v>
      </c>
      <c r="V41" s="16">
        <v>7</v>
      </c>
      <c r="W41" s="16">
        <v>3</v>
      </c>
      <c r="X41" s="16">
        <v>0</v>
      </c>
      <c r="Y41" s="16">
        <v>161</v>
      </c>
      <c r="Z41" s="17">
        <f>IF(OR(M41="",M41=0),"",((13*S41+3*(T41+V41)-2*Y41)/M41+League!$Y$2))</f>
        <v>3.3572293066585215</v>
      </c>
      <c r="AA41" s="16">
        <f>VLOOKUP(B41,BPF!$A$2:$B$31,2,FALSE)</f>
        <v>100</v>
      </c>
      <c r="AB41" s="19">
        <f>IF(OR(E41="",E41=0),"",(E41/(League!$E$6*AA41/100)*100))</f>
        <v>86.892803030303028</v>
      </c>
      <c r="AC41" s="19">
        <f>IF(OR(Z41="",Z41=0),"",(Z41/(League!$Y$6*AA41/100)*100))</f>
        <v>89.150709599665873</v>
      </c>
      <c r="AD41" s="20">
        <f>IF(OR((C41+D41)="",(C41+D41)=0),"",(C41/(C41+D41)))</f>
        <v>0.6785714285714286</v>
      </c>
      <c r="AE41" s="17">
        <f>IF(OR(F41="",F41=0),"",(M41/F41))</f>
        <v>6.6666666666666661</v>
      </c>
      <c r="AF41" s="17">
        <f>IF(OR(AA41="",AA41=0,League!$Q$7="",League!$Q$7=0),"",(Z41*100/AA41*(League!$P$7/League!$Q$7)))</f>
        <v>3.6394043481722509</v>
      </c>
      <c r="AG41" s="34">
        <f>(1.19*AE41-0.056*AF41+1.71)*League!$AB$7</f>
        <v>9.6175562083729442</v>
      </c>
      <c r="AH41" s="17">
        <f>IF(OR(League!$Q$6="",League!$Q$6=0),"",(League!$Y$6*(League!$P$6/League!$Q$6)))</f>
        <v>4.0745235060076688</v>
      </c>
      <c r="AI41" s="17">
        <f>IF(OR(League!$Q$7="",League!$Q$7=0,AA41="",AA41=0,F41="",F41=0,League!$G$6="",League!$G$6=0,League!$Q$8="",League!$Q$8=0),"",((Z41/(AA41/100)/9*(League!$P$7/League!$Q$7)*(M41/F41)+(League!$M$6/League!$G$6-M41/F41)*(League!$Y$8/9*League!$P$8/League!$Q$8))/(League!$M$6/League!$G$6)*9))</f>
        <v>3.7174903904643406</v>
      </c>
      <c r="AJ41" s="17">
        <f>IF(AH41="","",((AH41+AI41)^0.287))</f>
        <v>1.8026170278778626</v>
      </c>
      <c r="AK41" s="21">
        <f>IF(AM41="","",(AM41*F41))</f>
        <v>17.319468477152373</v>
      </c>
      <c r="AL41" s="21">
        <f>IF(AK41="","",(F41-AK41))</f>
        <v>14.680531522847627</v>
      </c>
      <c r="AM41" s="20">
        <f>IF(AJ41="","",(AH41^AJ41/(AH41^AJ41+AI41^AJ41)))</f>
        <v>0.54123338991101166</v>
      </c>
      <c r="AN41" s="21">
        <f>IF(OR(AG41="",AG41=0),"",IF(((M41/AG41)&gt;=F41),AK41,IF(OR(AM41=1,(AK41-(F41-M41/AG41)*League!$AA$8)&gt;=AK41),AK41,IF(OR(AM41=0,(AK41-(F41-M41/AG41)*League!$AA$8)&lt;=0),0,(AK41-(F41-M41/AG41)*League!$AA$8)))))</f>
        <v>12.359556204365097</v>
      </c>
      <c r="AO41" s="21">
        <f>IF(OR(AG41="",AG41=0),"",IF((M41/AG41)&gt;=F41,AL41,(M41/AG41-AN41)))</f>
        <v>9.8221008310892461</v>
      </c>
      <c r="AP41" s="20">
        <f>IF(OR(AN41="",(AN41+AO41)=0),"",(AN41/(AN41+AO41)))</f>
        <v>0.55719715549699633</v>
      </c>
      <c r="AQ41" s="22">
        <f>IF(AN41="","",((C41-AN41)+(AO41-D41)))</f>
        <v>7.4625446267241493</v>
      </c>
    </row>
    <row r="42" spans="1:43" x14ac:dyDescent="0.3">
      <c r="A42" s="15" t="s">
        <v>124</v>
      </c>
      <c r="B42" s="16" t="s">
        <v>94</v>
      </c>
      <c r="C42" s="16">
        <v>16</v>
      </c>
      <c r="D42" s="16">
        <v>6</v>
      </c>
      <c r="E42" s="17">
        <f>IF(OR(M42="",M42=0),"",(R42/M42*9))</f>
        <v>3.4890656063618297</v>
      </c>
      <c r="F42" s="16">
        <v>30</v>
      </c>
      <c r="G42" s="16">
        <v>30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8">
        <f>IF(N42="","",(INT(N42)+(N42-INT(N42))*10/3))</f>
        <v>167.66666666666663</v>
      </c>
      <c r="N42" s="16">
        <v>167.2</v>
      </c>
      <c r="O42" s="16">
        <v>714</v>
      </c>
      <c r="P42" s="16">
        <v>170</v>
      </c>
      <c r="Q42" s="16">
        <v>70</v>
      </c>
      <c r="R42" s="16">
        <v>65</v>
      </c>
      <c r="S42" s="16">
        <v>11</v>
      </c>
      <c r="T42" s="16">
        <v>62</v>
      </c>
      <c r="U42" s="16">
        <v>5</v>
      </c>
      <c r="V42" s="16">
        <v>5</v>
      </c>
      <c r="W42" s="16">
        <v>5</v>
      </c>
      <c r="X42" s="16">
        <v>0</v>
      </c>
      <c r="Y42" s="16">
        <v>112</v>
      </c>
      <c r="Z42" s="17">
        <f>IF(OR(M42="",M42=0),"",((13*S42+3*(T42+V42)-2*Y42)/M42+League!$Y$2))</f>
        <v>3.7635600720660762</v>
      </c>
      <c r="AA42" s="16">
        <f>VLOOKUP(B42,BPF!$A$2:$B$31,2,FALSE)</f>
        <v>115</v>
      </c>
      <c r="AB42" s="19">
        <f>IF(OR(E42="",E42=0),"",(E42/(League!$E$6*AA42/100)*100))</f>
        <v>81.155991348590703</v>
      </c>
      <c r="AC42" s="19">
        <f>IF(OR(Z42="",Z42=0),"",(Z42/(League!$Y$6*AA42/100)*100))</f>
        <v>86.905009380464975</v>
      </c>
      <c r="AD42" s="20">
        <f>IF(OR((C42+D42)="",(C42+D42)=0),"",(C42/(C42+D42)))</f>
        <v>0.72727272727272729</v>
      </c>
      <c r="AE42" s="17">
        <f>IF(OR(F42="",F42=0),"",(M42/F42))</f>
        <v>5.5888888888888877</v>
      </c>
      <c r="AF42" s="17">
        <f>IF(OR(AA42="",AA42=0,League!$Q$7="",League!$Q$7=0),"",(Z42*100/AA42*(League!$P$7/League!$Q$7)))</f>
        <v>3.5477280039327899</v>
      </c>
      <c r="AG42" s="34">
        <f>(1.19*AE42-0.056*AF42+1.71)*League!$AB$7</f>
        <v>8.3160423490924487</v>
      </c>
      <c r="AH42" s="17">
        <f>IF(OR(League!$Q$6="",League!$Q$6=0),"",(League!$Y$6*(League!$P$6/League!$Q$6)))</f>
        <v>4.0745235060076688</v>
      </c>
      <c r="AI42" s="17">
        <f>IF(OR(League!$Q$7="",League!$Q$7=0,AA42="",AA42=0,F42="",F42=0,League!$G$6="",League!$G$6=0,League!$Q$8="",League!$Q$8=0),"",((Z42/(AA42/100)/9*(League!$P$7/League!$Q$7)*(M42/F42)+(League!$M$6/League!$G$6-M42/F42)*(League!$Y$8/9*League!$P$8/League!$Q$8))/(League!$M$6/League!$G$6)*9))</f>
        <v>3.6967145295415884</v>
      </c>
      <c r="AJ42" s="17">
        <f>IF(AH42="","",((AH42+AI42)^0.287))</f>
        <v>1.8012363005436149</v>
      </c>
      <c r="AK42" s="21">
        <f>IF(AM42="","",(AM42*F42))</f>
        <v>16.311223243119148</v>
      </c>
      <c r="AL42" s="21">
        <f>IF(AK42="","",(F42-AK42))</f>
        <v>13.688776756880852</v>
      </c>
      <c r="AM42" s="20">
        <f>IF(AJ42="","",(AH42^AJ42/(AH42^AJ42+AI42^AJ42)))</f>
        <v>0.54370744143730498</v>
      </c>
      <c r="AN42" s="21">
        <f>IF(OR(AG42="",AG42=0),"",IF(((M42/AG42)&gt;=F42),AK42,IF(OR(AM42=1,(AK42-(F42-M42/AG42)*League!$AA$8)&gt;=AK42),AK42,IF(OR(AM42=0,(AK42-(F42-M42/AG42)*League!$AA$8)&lt;=0),0,(AK42-(F42-M42/AG42)*League!$AA$8)))))</f>
        <v>11.341297086175283</v>
      </c>
      <c r="AO42" s="21">
        <f>IF(OR(AG42="",AG42=0),"",IF((M42/AG42)&gt;=F42,AL42,(M42/AG42-AN42)))</f>
        <v>8.8205370686212614</v>
      </c>
      <c r="AP42" s="20">
        <f>IF(OR(AN42="",(AN42+AO42)=0),"",(AN42/(AN42+AO42)))</f>
        <v>0.56251316220043224</v>
      </c>
      <c r="AQ42" s="22">
        <f>IF(AN42="","",((C42-AN42)+(AO42-D42)))</f>
        <v>7.4792399824459785</v>
      </c>
    </row>
    <row r="43" spans="1:43" x14ac:dyDescent="0.3">
      <c r="A43" s="15" t="s">
        <v>113</v>
      </c>
      <c r="B43" s="16" t="s">
        <v>93</v>
      </c>
      <c r="C43" s="16">
        <v>14</v>
      </c>
      <c r="D43" s="16">
        <v>7</v>
      </c>
      <c r="E43" s="17">
        <f>IF(OR(M43="",M43=0),"",(R43/M43*9))</f>
        <v>3.3691507798960143</v>
      </c>
      <c r="F43" s="16">
        <v>31</v>
      </c>
      <c r="G43" s="16">
        <v>31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8">
        <f>IF(N43="","",(INT(N43)+(N43-INT(N43))*10/3))</f>
        <v>192.33333333333331</v>
      </c>
      <c r="N43" s="16">
        <v>192.1</v>
      </c>
      <c r="O43" s="16">
        <v>801</v>
      </c>
      <c r="P43" s="16">
        <v>193</v>
      </c>
      <c r="Q43" s="16">
        <v>78</v>
      </c>
      <c r="R43" s="16">
        <v>72</v>
      </c>
      <c r="S43" s="16">
        <v>21</v>
      </c>
      <c r="T43" s="16">
        <v>48</v>
      </c>
      <c r="U43" s="16">
        <v>4</v>
      </c>
      <c r="V43" s="16">
        <v>6</v>
      </c>
      <c r="W43" s="16">
        <v>2</v>
      </c>
      <c r="X43" s="16">
        <v>0</v>
      </c>
      <c r="Y43" s="16">
        <v>122</v>
      </c>
      <c r="Z43" s="17">
        <f>IF(OR(M43="",M43=0),"",((13*S43+3*(T43+V43)-2*Y43)/M43+League!$Y$2))</f>
        <v>4.0409218976463901</v>
      </c>
      <c r="AA43" s="16">
        <f>VLOOKUP(B43,BPF!$A$2:$B$31,2,FALSE)</f>
        <v>101</v>
      </c>
      <c r="AB43" s="19">
        <f>IF(OR(E43="",E43=0),"",(E43/(League!$E$6*AA43/100)*100))</f>
        <v>89.229480691885172</v>
      </c>
      <c r="AC43" s="19">
        <f>IF(OR(Z43="",Z43=0),"",(Z43/(League!$Y$6*AA43/100)*100))</f>
        <v>106.24362529533127</v>
      </c>
      <c r="AD43" s="20">
        <f>IF(OR((C43+D43)="",(C43+D43)=0),"",(C43/(C43+D43)))</f>
        <v>0.66666666666666663</v>
      </c>
      <c r="AE43" s="17">
        <f>IF(OR(F43="",F43=0),"",(M43/F43))</f>
        <v>6.204301075268817</v>
      </c>
      <c r="AF43" s="17">
        <f>IF(OR(AA43="",AA43=0,League!$Q$7="",League!$Q$7=0),"",(Z43*100/AA43*(League!$P$7/League!$Q$7)))</f>
        <v>4.3371893908835597</v>
      </c>
      <c r="AG43" s="34">
        <f>(1.19*AE43-0.056*AF43+1.71)*League!$AB$7</f>
        <v>9.0171511608332988</v>
      </c>
      <c r="AH43" s="17">
        <f>IF(OR(League!$Q$6="",League!$Q$6=0),"",(League!$Y$6*(League!$P$6/League!$Q$6)))</f>
        <v>4.0745235060076688</v>
      </c>
      <c r="AI43" s="17">
        <f>IF(OR(League!$Q$7="",League!$Q$7=0,AA43="",AA43=0,F43="",F43=0,League!$G$6="",League!$G$6=0,League!$Q$8="",League!$Q$8=0),"",((Z43/(AA43/100)/9*(League!$P$7/League!$Q$7)*(M43/F43)+(League!$M$6/League!$G$6-M43/F43)*(League!$Y$8/9*League!$P$8/League!$Q$8))/(League!$M$6/League!$G$6)*9))</f>
        <v>4.2145546685359117</v>
      </c>
      <c r="AJ43" s="17">
        <f>IF(AH43="","",((AH43+AI43)^0.287))</f>
        <v>1.8348953056757371</v>
      </c>
      <c r="AK43" s="21">
        <f>IF(AM43="","",(AM43*F43))</f>
        <v>15.019643499627563</v>
      </c>
      <c r="AL43" s="21">
        <f>IF(AK43="","",(F43-AK43))</f>
        <v>15.980356500372437</v>
      </c>
      <c r="AM43" s="20">
        <f>IF(AJ43="","",(AH43^AJ43/(AH43^AJ43+AI43^AJ43)))</f>
        <v>0.48450462902024394</v>
      </c>
      <c r="AN43" s="21">
        <f>IF(OR(AG43="",AG43=0),"",IF(((M43/AG43)&gt;=F43),AK43,IF(OR(AM43=1,(AK43-(F43-M43/AG43)*League!$AA$8)&gt;=AK43),AK43,IF(OR(AM43=0,(AK43-(F43-M43/AG43)*League!$AA$8)&lt;=0),0,(AK43-(F43-M43/AG43)*League!$AA$8)))))</f>
        <v>10.134529229946518</v>
      </c>
      <c r="AO43" s="21">
        <f>IF(OR(AG43="",AG43=0),"",IF((M43/AG43)&gt;=F43,AL43,(M43/AG43-AN43)))</f>
        <v>11.195193417794842</v>
      </c>
      <c r="AP43" s="20">
        <f>IF(OR(AN43="",(AN43+AO43)=0),"",(AN43/(AN43+AO43)))</f>
        <v>0.4751364749236287</v>
      </c>
      <c r="AQ43" s="22">
        <f>IF(AN43="","",((C43-AN43)+(AO43-D43)))</f>
        <v>8.0606641878483245</v>
      </c>
    </row>
    <row r="44" spans="1:43" x14ac:dyDescent="0.3">
      <c r="A44" s="24" t="s">
        <v>146</v>
      </c>
      <c r="B44" s="25" t="s">
        <v>96</v>
      </c>
      <c r="C44" s="25">
        <v>15</v>
      </c>
      <c r="D44" s="25">
        <v>4</v>
      </c>
      <c r="E44" s="26">
        <f>IF(OR(M44="",M44=0),"",(R44/M44*9))</f>
        <v>2.6341463414634152</v>
      </c>
      <c r="F44" s="25">
        <v>28</v>
      </c>
      <c r="G44" s="25">
        <v>28</v>
      </c>
      <c r="H44" s="25">
        <v>1</v>
      </c>
      <c r="I44" s="25">
        <v>1</v>
      </c>
      <c r="J44" s="25">
        <v>0</v>
      </c>
      <c r="K44" s="25">
        <v>0</v>
      </c>
      <c r="L44" s="25">
        <v>0</v>
      </c>
      <c r="M44" s="27">
        <f>IF(N44="","",(INT(N44)+(N44-INT(N44))*10/3))</f>
        <v>177.66666666666663</v>
      </c>
      <c r="N44" s="25">
        <v>177.2</v>
      </c>
      <c r="O44" s="25">
        <v>717</v>
      </c>
      <c r="P44" s="25">
        <v>152</v>
      </c>
      <c r="Q44" s="25">
        <v>54</v>
      </c>
      <c r="R44" s="25">
        <v>52</v>
      </c>
      <c r="S44" s="25">
        <v>13</v>
      </c>
      <c r="T44" s="25">
        <v>46</v>
      </c>
      <c r="U44" s="25">
        <v>1</v>
      </c>
      <c r="V44" s="25">
        <v>7</v>
      </c>
      <c r="W44" s="25">
        <v>5</v>
      </c>
      <c r="X44" s="25">
        <v>0</v>
      </c>
      <c r="Y44" s="25">
        <v>148</v>
      </c>
      <c r="Z44" s="26">
        <f>IF(OR(M44="",M44=0),"",((13*S44+3*(T44+V44)-2*Y44)/M44+League!$Y$2))</f>
        <v>3.2279668770149943</v>
      </c>
      <c r="AA44" s="25">
        <f>VLOOKUP(B44,BPF!$A$2:$B$31,2,FALSE)</f>
        <v>95</v>
      </c>
      <c r="AB44" s="28">
        <f>IF(OR(E44="",E44=0),"",(E44/(League!$E$6*AA44/100)*100))</f>
        <v>74.169539955512661</v>
      </c>
      <c r="AC44" s="28">
        <f>IF(OR(Z44="",Z44=0),"",(Z44/(League!$Y$6*AA44/100)*100))</f>
        <v>90.229647995226586</v>
      </c>
      <c r="AD44" s="55">
        <f>IF(OR((C44+D44)="",(C44+D44)=0),"",(C44/(C44+D44)))</f>
        <v>0.78947368421052633</v>
      </c>
      <c r="AE44" s="26">
        <f>IF(OR(F44="",F44=0),"",(M44/F44))</f>
        <v>6.345238095238094</v>
      </c>
      <c r="AF44" s="26">
        <f>IF(OR(AA44="",AA44=0,League!$Q$7="",League!$Q$7=0),"",(Z44*100/AA44*(League!$P$7/League!$Q$7)))</f>
        <v>3.683449909961344</v>
      </c>
      <c r="AG44" s="26">
        <f>(1.19*AE44-0.056*AF44+1.71)*League!$AB$7</f>
        <v>9.2253291859101996</v>
      </c>
      <c r="AH44" s="26">
        <f>IF(OR(League!$Q$6="",League!$Q$6=0),"",(League!$Y$6*(League!$P$6/League!$Q$6)))</f>
        <v>4.0745235060076688</v>
      </c>
      <c r="AI44" s="26">
        <f>IF(OR(League!$Q$7="",League!$Q$7=0,AA44="",AA44=0,F44="",F44=0,League!$G$6="",League!$G$6=0,League!$Q$8="",League!$Q$8=0),"",((Z44/(AA44/100)/9*(League!$P$7/League!$Q$7)*(M44/F44)+(League!$M$6/League!$G$6-M44/F44)*(League!$Y$8/9*League!$P$8/League!$Q$8))/(League!$M$6/League!$G$6)*9))</f>
        <v>3.7593758196469631</v>
      </c>
      <c r="AJ44" s="26">
        <f>IF(AH44="","",((AH44+AI44)^0.287))</f>
        <v>1.8053926996750296</v>
      </c>
      <c r="AK44" s="30">
        <f>IF(AM44="","",(AM44*F44))</f>
        <v>15.015562818921754</v>
      </c>
      <c r="AL44" s="30">
        <f>IF(AK44="","",(F44-AK44))</f>
        <v>12.984437181078246</v>
      </c>
      <c r="AM44" s="29">
        <f>IF(AJ44="","",(AH44^AJ44/(AH44^AJ44+AI44^AJ44)))</f>
        <v>0.53627010067577696</v>
      </c>
      <c r="AN44" s="30">
        <f>IF(OR(AG44="",AG44=0),"",IF(((M44/AG44)&gt;=F44),AK44,IF(OR(AM44=1,(AK44-(F44-M44/AG44)*League!$AA$8)&gt;=AK44),AK44,IF(OR(AM44=0,(AK44-(F44-M44/AG44)*League!$AA$8)&lt;=0),0,(AK44-(F44-M44/AG44)*League!$AA$8)))))</f>
        <v>10.599673497730468</v>
      </c>
      <c r="AO44" s="30">
        <f>IF(OR(AG44="",AG44=0),"",IF((M44/AG44)&gt;=F44,AL44,(M44/AG44-AN44)))</f>
        <v>8.658898536535375</v>
      </c>
      <c r="AP44" s="29">
        <f>IF(OR(AN44="",(AN44+AO44)=0),"",(AN44/(AN44+AO44)))</f>
        <v>0.55038730176209238</v>
      </c>
      <c r="AQ44" s="31">
        <f>IF(AN44="","",((C44-AN44)+(AO44-D44)))</f>
        <v>9.0592250388049074</v>
      </c>
    </row>
  </sheetData>
  <autoFilter ref="A1:AQ44">
    <sortState ref="A2:AQ44">
      <sortCondition ref="AQ1:AQ44"/>
    </sortState>
  </autoFilter>
  <sortState ref="A2:AP44">
    <sortCondition descending="1" ref="AO1"/>
  </sortState>
  <phoneticPr fontId="18" type="noConversion"/>
  <conditionalFormatting sqref="AN2:AN44">
    <cfRule type="top10" dxfId="5" priority="2" rank="1"/>
  </conditionalFormatting>
  <conditionalFormatting sqref="AO2:AO44">
    <cfRule type="top10" dxfId="4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6"/>
  <sheetViews>
    <sheetView topLeftCell="AD1" workbookViewId="0">
      <selection activeCell="AD23" sqref="AD23"/>
    </sheetView>
  </sheetViews>
  <sheetFormatPr defaultRowHeight="16.5" x14ac:dyDescent="0.3"/>
  <cols>
    <col min="1" max="1" width="15.625" style="9" customWidth="1"/>
    <col min="2" max="2" width="10.625" style="9" customWidth="1"/>
    <col min="3" max="5" width="9" style="9"/>
    <col min="6" max="13" width="9" style="9" customWidth="1"/>
    <col min="14" max="14" width="9" style="9" hidden="1" customWidth="1"/>
    <col min="15" max="25" width="9" style="9" customWidth="1"/>
    <col min="26" max="26" width="9" style="9"/>
    <col min="27" max="27" width="9" style="9" hidden="1" customWidth="1"/>
    <col min="28" max="29" width="9" style="9"/>
    <col min="30" max="39" width="9" style="9" customWidth="1"/>
    <col min="40" max="70" width="9" style="4"/>
  </cols>
  <sheetData>
    <row r="1" spans="1:47" x14ac:dyDescent="0.3">
      <c r="A1" s="7" t="s">
        <v>150</v>
      </c>
      <c r="B1" s="8" t="s">
        <v>151</v>
      </c>
      <c r="C1" s="8" t="s">
        <v>152</v>
      </c>
      <c r="D1" s="8" t="s">
        <v>153</v>
      </c>
      <c r="E1" s="8" t="s">
        <v>154</v>
      </c>
      <c r="F1" s="8" t="s">
        <v>155</v>
      </c>
      <c r="G1" s="8" t="s">
        <v>156</v>
      </c>
      <c r="H1" s="8" t="s">
        <v>157</v>
      </c>
      <c r="I1" s="8" t="s">
        <v>158</v>
      </c>
      <c r="J1" s="8" t="s">
        <v>159</v>
      </c>
      <c r="K1" s="8" t="s">
        <v>160</v>
      </c>
      <c r="L1" s="8" t="s">
        <v>161</v>
      </c>
      <c r="M1" s="8" t="s">
        <v>74</v>
      </c>
      <c r="N1" s="8" t="s">
        <v>74</v>
      </c>
      <c r="O1" s="8" t="s">
        <v>163</v>
      </c>
      <c r="P1" s="8" t="s">
        <v>164</v>
      </c>
      <c r="Q1" s="8" t="s">
        <v>165</v>
      </c>
      <c r="R1" s="8" t="s">
        <v>166</v>
      </c>
      <c r="S1" s="8" t="s">
        <v>167</v>
      </c>
      <c r="T1" s="8" t="s">
        <v>168</v>
      </c>
      <c r="U1" s="8" t="s">
        <v>169</v>
      </c>
      <c r="V1" s="8" t="s">
        <v>170</v>
      </c>
      <c r="W1" s="8" t="s">
        <v>171</v>
      </c>
      <c r="X1" s="8" t="s">
        <v>172</v>
      </c>
      <c r="Y1" s="8" t="s">
        <v>173</v>
      </c>
      <c r="Z1" s="8" t="s">
        <v>76</v>
      </c>
      <c r="AA1" s="8" t="s">
        <v>85</v>
      </c>
      <c r="AB1" s="8" t="s">
        <v>148</v>
      </c>
      <c r="AC1" s="8" t="s">
        <v>149</v>
      </c>
      <c r="AD1" s="8" t="s">
        <v>179</v>
      </c>
      <c r="AE1" s="8" t="s">
        <v>228</v>
      </c>
      <c r="AF1" s="8" t="s">
        <v>230</v>
      </c>
      <c r="AG1" s="8" t="s">
        <v>226</v>
      </c>
      <c r="AH1" s="8" t="s">
        <v>86</v>
      </c>
      <c r="AI1" s="8" t="s">
        <v>87</v>
      </c>
      <c r="AJ1" s="8" t="s">
        <v>180</v>
      </c>
      <c r="AK1" s="8" t="s">
        <v>183</v>
      </c>
      <c r="AL1" s="8" t="s">
        <v>88</v>
      </c>
      <c r="AM1" s="8" t="s">
        <v>181</v>
      </c>
      <c r="AN1" s="8" t="s">
        <v>227</v>
      </c>
      <c r="AO1" s="8" t="s">
        <v>88</v>
      </c>
      <c r="AP1" s="8" t="s">
        <v>187</v>
      </c>
      <c r="AQ1" s="40" t="s">
        <v>89</v>
      </c>
      <c r="AT1" s="53"/>
      <c r="AU1" s="53"/>
    </row>
    <row r="2" spans="1:47" x14ac:dyDescent="0.3">
      <c r="A2" s="32" t="s">
        <v>31</v>
      </c>
      <c r="B2" s="33" t="s">
        <v>32</v>
      </c>
      <c r="C2" s="33">
        <v>11</v>
      </c>
      <c r="D2" s="33">
        <v>14</v>
      </c>
      <c r="E2" s="34">
        <f>IF(OR(M2="",M2=0),"",(R2/M2*9))</f>
        <v>3.0653188180404358</v>
      </c>
      <c r="F2" s="33">
        <v>30</v>
      </c>
      <c r="G2" s="33">
        <v>30</v>
      </c>
      <c r="H2" s="33">
        <v>4</v>
      </c>
      <c r="I2" s="33">
        <v>1</v>
      </c>
      <c r="J2" s="33">
        <v>0</v>
      </c>
      <c r="K2" s="33">
        <v>0</v>
      </c>
      <c r="L2" s="33">
        <v>0</v>
      </c>
      <c r="M2" s="35">
        <f>IF(N2="","",(INT(N2)+(N2-INT(N2))*10/3))</f>
        <v>214.33333333333331</v>
      </c>
      <c r="N2" s="33">
        <v>214.1</v>
      </c>
      <c r="O2" s="33">
        <v>866</v>
      </c>
      <c r="P2" s="33">
        <v>184</v>
      </c>
      <c r="Q2" s="33">
        <v>81</v>
      </c>
      <c r="R2" s="33">
        <v>73</v>
      </c>
      <c r="S2" s="33">
        <v>23</v>
      </c>
      <c r="T2" s="33">
        <v>46</v>
      </c>
      <c r="U2" s="33">
        <v>2</v>
      </c>
      <c r="V2" s="33">
        <v>14</v>
      </c>
      <c r="W2" s="33">
        <v>8</v>
      </c>
      <c r="X2" s="33">
        <v>1</v>
      </c>
      <c r="Y2" s="33">
        <v>226</v>
      </c>
      <c r="Z2" s="34">
        <f>IF(OR(M2="",M2=0),"",((13*S2+3*(T2+V2)-2*Y2)/M2+League!$Y$2))</f>
        <v>3.1738263128793611</v>
      </c>
      <c r="AA2" s="33">
        <f>VLOOKUP(B2,BPF!$A$2:$B$31,2,FALSE)</f>
        <v>104</v>
      </c>
      <c r="AB2" s="36">
        <f>IF(OR(E2="",E2=0),"",(E2/(League!$E$3*AA2/100)*100))</f>
        <v>73.811636902526288</v>
      </c>
      <c r="AC2" s="36">
        <f>IF(OR(Z2="",Z2=0),"",(Z2/(League!$Y$3*AA2/100)*100))</f>
        <v>76.952484045964866</v>
      </c>
      <c r="AD2" s="37">
        <f>IF(OR((C2+D2)="",(C2+D2)=0),"",(C2/(C2+D2)))</f>
        <v>0.44</v>
      </c>
      <c r="AE2" s="34">
        <f>IF(OR(F2="",F2=0),"",(M2/F2))</f>
        <v>7.1444444444444439</v>
      </c>
      <c r="AF2" s="34">
        <f>IF(OR(M2="",M2=0,AA2="",AA2=0),"",(Q2/M2*9)/(AA2/100))</f>
        <v>3.2704270845794952</v>
      </c>
      <c r="AG2" s="34">
        <f>(1.19*AE2-0.056*AF2+1.71)*League!$AC$4</f>
        <v>10.139255256294623</v>
      </c>
      <c r="AH2" s="34">
        <f>IF(OR(League!$M$3="",League!$M$3=0),"",(League!$P$3/League!$M$3*9))</f>
        <v>4.3072548839768867</v>
      </c>
      <c r="AI2" s="34">
        <f>IF(OR(F2="",F2=0,League!$G$3="",League!$G$3=0,League!$M$5="",League!$M$5=0,AA2="",AA2=0),"",((Q2/F2/(AA2/100)+(League!$M$3/League!$G$3-M2/F2)*(League!$P$5/League!$M$5))/(League!$M$3/League!$G$3)*9))</f>
        <v>3.4175720531077793</v>
      </c>
      <c r="AJ2" s="34">
        <f>IF(AH2="","",((AH2+AI2)^0.287))</f>
        <v>1.7981423665403655</v>
      </c>
      <c r="AK2" s="38">
        <f>IF(AM2="","",(AM2*F2))</f>
        <v>18.07603607748873</v>
      </c>
      <c r="AL2" s="38">
        <f>IF(AK2="","",(F2-AK2))</f>
        <v>11.92396392251127</v>
      </c>
      <c r="AM2" s="37">
        <f>IF(AJ2="","",(AH2^AJ2/(AH2^AJ2+AI2^AJ2)))</f>
        <v>0.60253453591629103</v>
      </c>
      <c r="AN2" s="38">
        <f>IF(OR(AG2="",AG2=0),"",IF(((M2/AG2)&gt;=F2),AK2,IF(OR(AM2=1,(AK2-(F2-M2/AG2)*League!$AA$5)&gt;=AK2),AK2,IF(OR(AM2=0,(AK2-(F2-M2/AG2)*League!$AA$5)&lt;=0),0,(AK2-(F2-M2/AG2)*League!$AA$5)))))</f>
        <v>13.616330610284901</v>
      </c>
      <c r="AO2" s="38">
        <f>IF(OR(AG2="",AG2=0),"",IF((W2/AG2)&gt;=F2,AL2,(M2/AG2-AN2)))</f>
        <v>7.5226315635169172</v>
      </c>
      <c r="AP2" s="37">
        <f>IF(OR(AN2="",(AN2+AO2)=0),"",(AN2/(AN2+AO2)))</f>
        <v>0.64413430036598718</v>
      </c>
      <c r="AQ2" s="39">
        <f>IF(AN2="","",((C2-AN2)+(AO2-D2)))</f>
        <v>-9.0936990467679841</v>
      </c>
      <c r="AS2" s="41"/>
      <c r="AT2" s="53"/>
      <c r="AU2" s="53"/>
    </row>
    <row r="3" spans="1:47" x14ac:dyDescent="0.3">
      <c r="A3" s="15" t="s">
        <v>25</v>
      </c>
      <c r="B3" s="16" t="s">
        <v>26</v>
      </c>
      <c r="C3" s="16">
        <v>11</v>
      </c>
      <c r="D3" s="16">
        <v>13</v>
      </c>
      <c r="E3" s="17">
        <f>IF(OR(M3="",M3=0),"",(R3/M3*9))</f>
        <v>3.3079470198675502</v>
      </c>
      <c r="F3" s="16">
        <v>32</v>
      </c>
      <c r="G3" s="16">
        <v>32</v>
      </c>
      <c r="H3" s="16">
        <v>1</v>
      </c>
      <c r="I3" s="16">
        <v>1</v>
      </c>
      <c r="J3" s="16">
        <v>0</v>
      </c>
      <c r="K3" s="16">
        <v>0</v>
      </c>
      <c r="L3" s="16">
        <v>0</v>
      </c>
      <c r="M3" s="18">
        <f>IF(N3="","",(INT(N3)+(N3-INT(N3))*10/3))</f>
        <v>201.33333333333331</v>
      </c>
      <c r="N3" s="16">
        <v>201.1</v>
      </c>
      <c r="O3" s="16">
        <v>824</v>
      </c>
      <c r="P3" s="16">
        <v>191</v>
      </c>
      <c r="Q3" s="16">
        <v>79</v>
      </c>
      <c r="R3" s="16">
        <v>74</v>
      </c>
      <c r="S3" s="16">
        <v>20</v>
      </c>
      <c r="T3" s="16">
        <v>43</v>
      </c>
      <c r="U3" s="16">
        <v>2</v>
      </c>
      <c r="V3" s="16">
        <v>5</v>
      </c>
      <c r="W3" s="16">
        <v>6</v>
      </c>
      <c r="X3" s="16">
        <v>0</v>
      </c>
      <c r="Y3" s="16">
        <v>150</v>
      </c>
      <c r="Z3" s="17">
        <f>IF(OR(M3="",M3=0),"",((13*S3+3*(T3+V3)-2*Y3)/M3+League!$Y$2))</f>
        <v>3.5644105980492498</v>
      </c>
      <c r="AA3" s="16">
        <f>VLOOKUP(B3,BPF!$A$2:$B$31,2,FALSE)</f>
        <v>103</v>
      </c>
      <c r="AB3" s="19">
        <f>IF(OR(E3="",E3=0),"",(E3/(League!$E$3*AA3/100)*100))</f>
        <v>80.427365891173835</v>
      </c>
      <c r="AC3" s="19">
        <f>IF(OR(Z3="",Z3=0),"",(Z3/(League!$Y$3*AA3/100)*100))</f>
        <v>87.261631390662757</v>
      </c>
      <c r="AD3" s="20">
        <f>IF(OR((C3+D3)="",(C3+D3)=0),"",(C3/(C3+D3)))</f>
        <v>0.45833333333333331</v>
      </c>
      <c r="AE3" s="17">
        <f>IF(OR(F3="",F3=0),"",(M3/F3))</f>
        <v>6.2916666666666661</v>
      </c>
      <c r="AF3" s="34">
        <f>IF(OR(M3="",M3=0,AA3="",AA3=0),"",(Q3/M3*9)/(AA3/100))</f>
        <v>3.4285989841188198</v>
      </c>
      <c r="AG3" s="34">
        <f>(1.19*AE3-0.056*AF3+1.71)*League!$AC$4</f>
        <v>9.1043119680888509</v>
      </c>
      <c r="AH3" s="17">
        <f>IF(OR(League!$M$3="",League!$M$3=0),"",(League!$P$3/League!$M$3*9))</f>
        <v>4.3072548839768867</v>
      </c>
      <c r="AI3" s="17">
        <f>IF(OR(F3="",F3=0,League!$G$3="",League!$G$3=0,League!$M$5="",League!$M$5=0,AA3="",AA3=0),"",((Q3/F3/(AA3/100)+(League!$M$3/League!$G$3-M3/F3)*(League!$P$5/League!$M$5))/(League!$M$3/League!$G$3)*9))</f>
        <v>3.5974382896323358</v>
      </c>
      <c r="AJ3" s="17">
        <f>IF(AH3="","",((AH3+AI3)^0.287))</f>
        <v>1.8100601199772592</v>
      </c>
      <c r="AK3" s="21">
        <f>IF(AM3="","",(AM3*F3))</f>
        <v>18.584782575007786</v>
      </c>
      <c r="AL3" s="21">
        <f>IF(AK3="","",(F3-AK3))</f>
        <v>13.415217424992214</v>
      </c>
      <c r="AM3" s="20">
        <f>IF(AJ3="","",(AH3^AJ3/(AH3^AJ3+AI3^AJ3)))</f>
        <v>0.58077445546899331</v>
      </c>
      <c r="AN3" s="38">
        <f>IF(OR(AG3="",AG3=0),"",IF(((M3/AG3)&gt;=F3),AK3,IF(OR(AM3=1,(AK3-(F3-M3/AG3)*League!$AA$5)&gt;=AK3),AK3,IF(OR(AM3=0,(AK3-(F3-M3/AG3)*League!$AA$5)&lt;=0),0,(AK3-(F3-M3/AG3)*League!$AA$5)))))</f>
        <v>13.609251971013238</v>
      </c>
      <c r="AO3" s="38">
        <f>IF(OR(AG3="",AG3=0),"",IF((W3/AG3)&gt;=F3,AL3,(M3/AG3-AN3)))</f>
        <v>8.5048115671232498</v>
      </c>
      <c r="AP3" s="20">
        <f>IF(OR(AN3="",(AN3+AO3)=0),"",(AN3/(AN3+AO3)))</f>
        <v>0.61541163375711572</v>
      </c>
      <c r="AQ3" s="22">
        <f>IF(AN3="","",((C3-AN3)+(AO3-D3)))</f>
        <v>-7.1044404038899884</v>
      </c>
    </row>
    <row r="4" spans="1:47" x14ac:dyDescent="0.3">
      <c r="A4" s="15" t="s">
        <v>42</v>
      </c>
      <c r="B4" s="16" t="s">
        <v>43</v>
      </c>
      <c r="C4" s="16">
        <v>10</v>
      </c>
      <c r="D4" s="16">
        <v>13</v>
      </c>
      <c r="E4" s="17">
        <f>IF(OR(M4="",M4=0),"",(R4/M4*9))</f>
        <v>3.517605633802817</v>
      </c>
      <c r="F4" s="16">
        <v>29</v>
      </c>
      <c r="G4" s="16">
        <v>29</v>
      </c>
      <c r="H4" s="16">
        <v>2</v>
      </c>
      <c r="I4" s="16">
        <v>0</v>
      </c>
      <c r="J4" s="16">
        <v>0</v>
      </c>
      <c r="K4" s="16">
        <v>0</v>
      </c>
      <c r="L4" s="16">
        <v>0</v>
      </c>
      <c r="M4" s="18">
        <f>IF(N4="","",(INT(N4)+(N4-INT(N4))*10/3))</f>
        <v>189.33333333333331</v>
      </c>
      <c r="N4" s="16">
        <v>189.1</v>
      </c>
      <c r="O4" s="16">
        <v>778</v>
      </c>
      <c r="P4" s="16">
        <v>179</v>
      </c>
      <c r="Q4" s="16">
        <v>80</v>
      </c>
      <c r="R4" s="16">
        <v>74</v>
      </c>
      <c r="S4" s="16">
        <v>26</v>
      </c>
      <c r="T4" s="16">
        <v>40</v>
      </c>
      <c r="U4" s="16">
        <v>0</v>
      </c>
      <c r="V4" s="16">
        <v>6</v>
      </c>
      <c r="W4" s="16">
        <v>4</v>
      </c>
      <c r="X4" s="16">
        <v>0</v>
      </c>
      <c r="Y4" s="16">
        <v>161</v>
      </c>
      <c r="Z4" s="17">
        <f>IF(OR(M4="",M4=0),"",((13*S4+3*(T4+V4)-2*Y4)/M4+League!$Y$2))</f>
        <v>3.8612345883486623</v>
      </c>
      <c r="AA4" s="16">
        <f>VLOOKUP(B4,BPF!$A$2:$B$31,2,FALSE)</f>
        <v>104</v>
      </c>
      <c r="AB4" s="19">
        <f>IF(OR(E4="",E4=0),"",(E4/(League!$E$3*AA4/100)*100))</f>
        <v>84.702520429674067</v>
      </c>
      <c r="AC4" s="19">
        <f>IF(OR(Z4="",Z4=0),"",(Z4/(League!$Y$3*AA4/100)*100))</f>
        <v>93.619361542208708</v>
      </c>
      <c r="AD4" s="20">
        <f>IF(OR((C4+D4)="",(C4+D4)=0),"",(C4/(C4+D4)))</f>
        <v>0.43478260869565216</v>
      </c>
      <c r="AE4" s="17">
        <f>IF(OR(F4="",F4=0),"",(M4/F4))</f>
        <v>6.5287356321839072</v>
      </c>
      <c r="AF4" s="34">
        <f>IF(OR(M4="",M4=0,AA4="",AA4=0),"",(Q4/M4*9)/(AA4/100))</f>
        <v>3.6565547128927411</v>
      </c>
      <c r="AG4" s="34">
        <f>(1.19*AE4-0.056*AF4+1.71)*League!$AC$4</f>
        <v>9.3766265410209915</v>
      </c>
      <c r="AH4" s="17">
        <f>IF(OR(League!$M$3="",League!$M$3=0),"",(League!$P$3/League!$M$3*9))</f>
        <v>4.3072548839768867</v>
      </c>
      <c r="AI4" s="17">
        <f>IF(OR(F4="",F4=0,League!$G$3="",League!$G$3=0,League!$M$5="",League!$M$5=0,AA4="",AA4=0),"",((Q4/F4/(AA4/100)+(League!$M$3/League!$G$3-M4/F4)*(League!$P$5/League!$M$5))/(League!$M$3/League!$G$3)*9))</f>
        <v>3.7484572984664308</v>
      </c>
      <c r="AJ4" s="17">
        <f>IF(AH4="","",((AH4+AI4)^0.287))</f>
        <v>1.8199180447946588</v>
      </c>
      <c r="AK4" s="21">
        <f>IF(AM4="","",(AM4*F4))</f>
        <v>16.323738216780544</v>
      </c>
      <c r="AL4" s="21">
        <f>IF(AK4="","",(F4-AK4))</f>
        <v>12.676261783219456</v>
      </c>
      <c r="AM4" s="20">
        <f>IF(AJ4="","",(AH4^AJ4/(AH4^AJ4+AI4^AJ4)))</f>
        <v>0.56288752471657044</v>
      </c>
      <c r="AN4" s="38">
        <f>IF(OR(AG4="",AG4=0),"",IF(((M4/AG4)&gt;=F4),AK4,IF(OR(AM4=1,(AK4-(F4-M4/AG4)*League!$AA$5)&gt;=AK4),AK4,IF(OR(AM4=0,(AK4-(F4-M4/AG4)*League!$AA$5)&lt;=0),0,(AK4-(F4-M4/AG4)*League!$AA$5)))))</f>
        <v>11.890752671649128</v>
      </c>
      <c r="AO4" s="38">
        <f>IF(OR(AG4="",AG4=0),"",IF((W4/AG4)&gt;=F4,AL4,(M4/AG4-AN4)))</f>
        <v>8.3012996090976117</v>
      </c>
      <c r="AP4" s="20">
        <f>IF(OR(AN4="",(AN4+AO4)=0),"",(AN4/(AN4+AO4)))</f>
        <v>0.58888281915687402</v>
      </c>
      <c r="AQ4" s="22">
        <f>IF(AN4="","",((C4-AN4)+(AO4-D4)))</f>
        <v>-6.5894530625515166</v>
      </c>
    </row>
    <row r="5" spans="1:47" x14ac:dyDescent="0.3">
      <c r="A5" s="15" t="s">
        <v>40</v>
      </c>
      <c r="B5" s="16" t="s">
        <v>41</v>
      </c>
      <c r="C5" s="16">
        <v>9</v>
      </c>
      <c r="D5" s="16">
        <v>10</v>
      </c>
      <c r="E5" s="17">
        <f>IF(OR(M5="",M5=0),"",(R5/M5*9))</f>
        <v>3.2417061611374409</v>
      </c>
      <c r="F5" s="16">
        <v>32</v>
      </c>
      <c r="G5" s="16">
        <v>32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8">
        <f>IF(N5="","",(INT(N5)+(N5-INT(N5))*10/3))</f>
        <v>211</v>
      </c>
      <c r="N5" s="16">
        <v>211</v>
      </c>
      <c r="O5" s="16">
        <v>859</v>
      </c>
      <c r="P5" s="16">
        <v>190</v>
      </c>
      <c r="Q5" s="16">
        <v>85</v>
      </c>
      <c r="R5" s="16">
        <v>76</v>
      </c>
      <c r="S5" s="16">
        <v>26</v>
      </c>
      <c r="T5" s="16">
        <v>51</v>
      </c>
      <c r="U5" s="16">
        <v>3</v>
      </c>
      <c r="V5" s="16">
        <v>6</v>
      </c>
      <c r="W5" s="16">
        <v>6</v>
      </c>
      <c r="X5" s="16">
        <v>0</v>
      </c>
      <c r="Y5" s="16">
        <v>161</v>
      </c>
      <c r="Z5" s="17">
        <f>IF(OR(M5="",M5=0),"",((13*S5+3*(T5+V5)-2*Y5)/M5+League!$Y$2))</f>
        <v>3.9341102308291376</v>
      </c>
      <c r="AA5" s="16">
        <f>VLOOKUP(B5,BPF!$A$2:$B$31,2,FALSE)</f>
        <v>102</v>
      </c>
      <c r="AB5" s="19">
        <f>IF(OR(E5="",E5=0),"",(E5/(League!$E$3*AA5/100)*100))</f>
        <v>79.589540850813805</v>
      </c>
      <c r="AC5" s="19">
        <f>IF(OR(Z5="",Z5=0),"",(Z5/(League!$Y$3*AA5/100)*100))</f>
        <v>97.256621517621667</v>
      </c>
      <c r="AD5" s="20">
        <f>IF(OR((C5+D5)="",(C5+D5)=0),"",(C5/(C5+D5)))</f>
        <v>0.47368421052631576</v>
      </c>
      <c r="AE5" s="17">
        <f>IF(OR(F5="",F5=0),"",(M5/F5))</f>
        <v>6.59375</v>
      </c>
      <c r="AF5" s="34">
        <f>IF(OR(M5="",M5=0,AA5="",AA5=0),"",(Q5/M5*9)/(AA5/100))</f>
        <v>3.5545023696682461</v>
      </c>
      <c r="AG5" s="34">
        <f>(1.19*AE5-0.056*AF5+1.71)*League!$AC$4</f>
        <v>9.460624080173428</v>
      </c>
      <c r="AH5" s="17">
        <f>IF(OR(League!$M$3="",League!$M$3=0),"",(League!$P$3/League!$M$3*9))</f>
        <v>4.3072548839768867</v>
      </c>
      <c r="AI5" s="17">
        <f>IF(OR(F5="",F5=0,League!$G$3="",League!$G$3=0,League!$M$5="",League!$M$5=0,AA5="",AA5=0),"",((Q5/F5/(AA5/100)+(League!$M$3/League!$G$3-M5/F5)*(League!$P$5/League!$M$5))/(League!$M$3/League!$G$3)*9))</f>
        <v>3.6709573950874592</v>
      </c>
      <c r="AJ5" s="17">
        <f>IF(AH5="","",((AH5+AI5)^0.287))</f>
        <v>1.8148757746581694</v>
      </c>
      <c r="AK5" s="21">
        <f>IF(AM5="","",(AM5*F5))</f>
        <v>18.304697103782782</v>
      </c>
      <c r="AL5" s="21">
        <f>IF(AK5="","",(F5-AK5))</f>
        <v>13.695302896217218</v>
      </c>
      <c r="AM5" s="20">
        <f>IF(AJ5="","",(AH5^AJ5/(AH5^AJ5+AI5^AJ5)))</f>
        <v>0.57202178449321195</v>
      </c>
      <c r="AN5" s="38">
        <f>IF(OR(AG5="",AG5=0),"",IF(((M5/AG5)&gt;=F5),AK5,IF(OR(AM5=1,(AK5-(F5-M5/AG5)*League!$AA$5)&gt;=AK5),AK5,IF(OR(AM5=0,(AK5-(F5-M5/AG5)*League!$AA$5)&lt;=0),0,(AK5-(F5-M5/AG5)*League!$AA$5)))))</f>
        <v>13.424241152084033</v>
      </c>
      <c r="AO5" s="38">
        <f>IF(OR(AG5="",AG5=0),"",IF((W5/AG5)&gt;=F5,AL5,(M5/AG5-AN5)))</f>
        <v>8.8787272580223799</v>
      </c>
      <c r="AP5" s="20">
        <f>IF(OR(AN5="",(AN5+AO5)=0),"",(AN5/(AN5+AO5)))</f>
        <v>0.60190378721071702</v>
      </c>
      <c r="AQ5" s="22">
        <f>IF(AN5="","",((C5-AN5)+(AO5-D5)))</f>
        <v>-5.5455138940616528</v>
      </c>
    </row>
    <row r="6" spans="1:47" x14ac:dyDescent="0.3">
      <c r="A6" s="15" t="s">
        <v>29</v>
      </c>
      <c r="B6" s="16" t="s">
        <v>30</v>
      </c>
      <c r="C6" s="16">
        <v>13</v>
      </c>
      <c r="D6" s="16">
        <v>9</v>
      </c>
      <c r="E6" s="17">
        <f>IF(OR(M6="",M6=0),"",(R6/M6*9))</f>
        <v>2.8330683624801276</v>
      </c>
      <c r="F6" s="16">
        <v>32</v>
      </c>
      <c r="G6" s="16">
        <v>32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8">
        <f>IF(N6="","",(INT(N6)+(N6-INT(N6))*10/3))</f>
        <v>209.66666666666663</v>
      </c>
      <c r="N6" s="16">
        <v>209.2</v>
      </c>
      <c r="O6" s="16">
        <v>841</v>
      </c>
      <c r="P6" s="16">
        <v>145</v>
      </c>
      <c r="Q6" s="16">
        <v>68</v>
      </c>
      <c r="R6" s="16">
        <v>66</v>
      </c>
      <c r="S6" s="16">
        <v>26</v>
      </c>
      <c r="T6" s="16">
        <v>80</v>
      </c>
      <c r="U6" s="16">
        <v>1</v>
      </c>
      <c r="V6" s="16">
        <v>8</v>
      </c>
      <c r="W6" s="16">
        <v>7</v>
      </c>
      <c r="X6" s="16">
        <v>1</v>
      </c>
      <c r="Y6" s="16">
        <v>277</v>
      </c>
      <c r="Z6" s="17">
        <f>IF(OR(M6="",M6=0),"",((13*S6+3*(T6+V6)-2*Y6)/M6+League!$Y$2))</f>
        <v>3.2767891238286326</v>
      </c>
      <c r="AA6" s="16">
        <f>VLOOKUP(B6,BPF!$A$2:$B$31,2,FALSE)</f>
        <v>106</v>
      </c>
      <c r="AB6" s="19">
        <f>IF(OR(E6="",E6=0),"",(E6/(League!$E$3*AA6/100)*100))</f>
        <v>66.931986318714266</v>
      </c>
      <c r="AC6" s="19">
        <f>IF(OR(Z6="",Z6=0),"",(Z6/(League!$Y$3*AA6/100)*100))</f>
        <v>77.949880666053559</v>
      </c>
      <c r="AD6" s="20">
        <f>IF(OR((C6+D6)="",(C6+D6)=0),"",(C6/(C6+D6)))</f>
        <v>0.59090909090909094</v>
      </c>
      <c r="AE6" s="17">
        <f>IF(OR(F6="",F6=0),"",(M6/F6))</f>
        <v>6.5520833333333321</v>
      </c>
      <c r="AF6" s="34">
        <f>IF(OR(M6="",M6=0,AA6="",AA6=0),"",(Q6/M6*9)/(AA6/100))</f>
        <v>2.7536970933197353</v>
      </c>
      <c r="AG6" s="34">
        <f>(1.19*AE6-0.056*AF6+1.71)*League!$AC$4</f>
        <v>9.4558336299985708</v>
      </c>
      <c r="AH6" s="17">
        <f>IF(OR(League!$M$3="",League!$M$3=0),"",(League!$P$3/League!$M$3*9))</f>
        <v>4.3072548839768867</v>
      </c>
      <c r="AI6" s="17">
        <f>IF(OR(F6="",F6=0,League!$G$3="",League!$G$3=0,League!$M$5="",League!$M$5=0,AA6="",AA6=0),"",((Q6/F6/(AA6/100)+(League!$M$3/League!$G$3-M6/F6)*(League!$P$5/League!$M$5))/(League!$M$3/League!$G$3)*9))</f>
        <v>3.0878166256440753</v>
      </c>
      <c r="AJ6" s="17">
        <f>IF(AH6="","",((AH6+AI6)^0.287))</f>
        <v>1.7757689686244285</v>
      </c>
      <c r="AK6" s="21">
        <f>IF(AM6="","",(AM6*F6))</f>
        <v>20.595325313332506</v>
      </c>
      <c r="AL6" s="21">
        <f>IF(AK6="","",(F6-AK6))</f>
        <v>11.404674686667494</v>
      </c>
      <c r="AM6" s="20">
        <f>IF(AJ6="","",(AH6^AJ6/(AH6^AJ6+AI6^AJ6)))</f>
        <v>0.6436039160416408</v>
      </c>
      <c r="AN6" s="38">
        <f>IF(OR(AG6="",AG6=0),"",IF(((M6/AG6)&gt;=F6),AK6,IF(OR(AM6=1,(AK6-(F6-M6/AG6)*League!$AA$5)&gt;=AK6),AK6,IF(OR(AM6=0,(AK6-(F6-M6/AG6)*League!$AA$5)&lt;=0),0,(AK6-(F6-M6/AG6)*League!$AA$5)))))</f>
        <v>15.649588404890245</v>
      </c>
      <c r="AO6" s="38">
        <f>IF(OR(AG6="",AG6=0),"",IF((W6/AG6)&gt;=F6,AL6,(M6/AG6-AN6)))</f>
        <v>6.5236725545137446</v>
      </c>
      <c r="AP6" s="20">
        <f>IF(OR(AN6="",(AN6+AO6)=0),"",(AN6/(AN6+AO6)))</f>
        <v>0.70578650716023961</v>
      </c>
      <c r="AQ6" s="22">
        <f>IF(AN6="","",((C6-AN6)+(AO6-D6)))</f>
        <v>-5.1259158503765008</v>
      </c>
    </row>
    <row r="7" spans="1:47" x14ac:dyDescent="0.3">
      <c r="A7" s="15" t="s">
        <v>66</v>
      </c>
      <c r="B7" s="16" t="s">
        <v>67</v>
      </c>
      <c r="C7" s="16">
        <v>9</v>
      </c>
      <c r="D7" s="16">
        <v>13</v>
      </c>
      <c r="E7" s="17">
        <f>IF(OR(M7="",M7=0),"",(R7/M7*9))</f>
        <v>4.1762589928057556</v>
      </c>
      <c r="F7" s="16">
        <v>31</v>
      </c>
      <c r="G7" s="16">
        <v>31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8">
        <f>IF(N7="","",(INT(N7)+(N7-INT(N7))*10/3))</f>
        <v>185.33333333333331</v>
      </c>
      <c r="N7" s="16">
        <v>185.1</v>
      </c>
      <c r="O7" s="16">
        <v>792</v>
      </c>
      <c r="P7" s="16">
        <v>218</v>
      </c>
      <c r="Q7" s="16">
        <v>89</v>
      </c>
      <c r="R7" s="16">
        <v>86</v>
      </c>
      <c r="S7" s="16">
        <v>24</v>
      </c>
      <c r="T7" s="16">
        <v>45</v>
      </c>
      <c r="U7" s="16">
        <v>1</v>
      </c>
      <c r="V7" s="16">
        <v>2</v>
      </c>
      <c r="W7" s="16">
        <v>2</v>
      </c>
      <c r="X7" s="16">
        <v>0</v>
      </c>
      <c r="Y7" s="16">
        <v>101</v>
      </c>
      <c r="Z7" s="17">
        <f>IF(OR(M7="",M7=0),"",((13*S7+3*(T7+V7)-2*Y7)/M7+League!$Y$2))</f>
        <v>4.4021708534211115</v>
      </c>
      <c r="AA7" s="16">
        <f>VLOOKUP(B7,BPF!$A$2:$B$31,2,FALSE)</f>
        <v>100</v>
      </c>
      <c r="AB7" s="19">
        <f>IF(OR(E7="",E7=0),"",(E7/(League!$E$3*AA7/100)*100))</f>
        <v>104.58513189448442</v>
      </c>
      <c r="AC7" s="19">
        <f>IF(OR(Z7="",Z7=0),"",(Z7/(League!$Y$3*AA7/100)*100))</f>
        <v>111.00427904024093</v>
      </c>
      <c r="AD7" s="20">
        <f>IF(OR((C7+D7)="",(C7+D7)=0),"",(C7/(C7+D7)))</f>
        <v>0.40909090909090912</v>
      </c>
      <c r="AE7" s="17">
        <f>IF(OR(F7="",F7=0),"",(M7/F7))</f>
        <v>5.9784946236559131</v>
      </c>
      <c r="AF7" s="34">
        <f>IF(OR(M7="",M7=0,AA7="",AA7=0),"",(Q7/M7*9)/(AA7/100))</f>
        <v>4.3219424460431659</v>
      </c>
      <c r="AG7" s="34">
        <f>(1.19*AE7-0.056*AF7+1.71)*League!$AC$4</f>
        <v>8.6769521007389585</v>
      </c>
      <c r="AH7" s="17">
        <f>IF(OR(League!$M$3="",League!$M$3=0),"",(League!$P$3/League!$M$3*9))</f>
        <v>4.3072548839768867</v>
      </c>
      <c r="AI7" s="17">
        <f>IF(OR(F7="",F7=0,League!$G$3="",League!$G$3=0,League!$M$5="",League!$M$5=0,AA7="",AA7=0),"",((Q7/F7/(AA7/100)+(League!$M$3/League!$G$3-M7/F7)*(League!$P$5/League!$M$5))/(League!$M$3/League!$G$3)*9))</f>
        <v>4.2128669824720708</v>
      </c>
      <c r="AJ7" s="17">
        <f>IF(AH7="","",((AH7+AI7)^0.287))</f>
        <v>1.8494302060462819</v>
      </c>
      <c r="AK7" s="21">
        <f>IF(AM7="","",(AM7*F7))</f>
        <v>15.817539069988298</v>
      </c>
      <c r="AL7" s="21">
        <f>IF(AK7="","",(F7-AK7))</f>
        <v>15.182460930011702</v>
      </c>
      <c r="AM7" s="20">
        <f>IF(AJ7="","",(AH7^AJ7/(AH7^AJ7+AI7^AJ7)))</f>
        <v>0.51024319580607413</v>
      </c>
      <c r="AN7" s="38">
        <f>IF(OR(AG7="",AG7=0),"",IF(((M7/AG7)&gt;=F7),AK7,IF(OR(AM7=1,(AK7-(F7-M7/AG7)*League!$AA$5)&gt;=AK7),AK7,IF(OR(AM7=0,(AK7-(F7-M7/AG7)*League!$AA$5)&lt;=0),0,(AK7-(F7-M7/AG7)*League!$AA$5)))))</f>
        <v>10.965417656661661</v>
      </c>
      <c r="AO7" s="38">
        <f>IF(OR(AG7="",AG7=0),"",IF((W7/AG7)&gt;=F7,AL7,(M7/AG7-AN7)))</f>
        <v>10.393848959267878</v>
      </c>
      <c r="AP7" s="20">
        <f>IF(OR(AN7="",(AN7+AO7)=0),"",(AN7/(AN7+AO7)))</f>
        <v>0.51337987646466088</v>
      </c>
      <c r="AQ7" s="22">
        <f>IF(AN7="","",((C7-AN7)+(AO7-D7)))</f>
        <v>-4.5715686973937828</v>
      </c>
    </row>
    <row r="8" spans="1:47" x14ac:dyDescent="0.3">
      <c r="A8" s="15" t="s">
        <v>23</v>
      </c>
      <c r="B8" s="16" t="s">
        <v>24</v>
      </c>
      <c r="C8" s="16">
        <v>12</v>
      </c>
      <c r="D8" s="16">
        <v>10</v>
      </c>
      <c r="E8" s="17">
        <f>IF(OR(M8="",M8=0),"",(R8/M8*9))</f>
        <v>3.0391517128874388</v>
      </c>
      <c r="F8" s="16">
        <v>31</v>
      </c>
      <c r="G8" s="16">
        <v>31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8">
        <f>IF(N8="","",(INT(N8)+(N8-INT(N8))*10/3))</f>
        <v>204.33333333333331</v>
      </c>
      <c r="N8" s="16">
        <v>204.1</v>
      </c>
      <c r="O8" s="16">
        <v>822</v>
      </c>
      <c r="P8" s="16">
        <v>185</v>
      </c>
      <c r="Q8" s="16">
        <v>74</v>
      </c>
      <c r="R8" s="16">
        <v>69</v>
      </c>
      <c r="S8" s="16">
        <v>15</v>
      </c>
      <c r="T8" s="16">
        <v>46</v>
      </c>
      <c r="U8" s="16">
        <v>1</v>
      </c>
      <c r="V8" s="16">
        <v>3</v>
      </c>
      <c r="W8" s="16">
        <v>13</v>
      </c>
      <c r="X8" s="16">
        <v>0</v>
      </c>
      <c r="Y8" s="16">
        <v>216</v>
      </c>
      <c r="Z8" s="17">
        <f>IF(OR(M8="",M8=0),"",((13*S8+3*(T8+V8)-2*Y8)/M8+League!$Y$2))</f>
        <v>2.6073975366748345</v>
      </c>
      <c r="AA8" s="16">
        <f>VLOOKUP(B8,BPF!$A$2:$B$31,2,FALSE)</f>
        <v>100</v>
      </c>
      <c r="AB8" s="19">
        <f>IF(OR(E8="",E8=0),"",(E8/(League!$E$3*AA8/100)*100))</f>
        <v>76.108805341629051</v>
      </c>
      <c r="AC8" s="19">
        <f>IF(OR(Z8="",Z8=0),"",(Z8/(League!$Y$3*AA8/100)*100))</f>
        <v>65.747626197870119</v>
      </c>
      <c r="AD8" s="20">
        <f>IF(OR((C8+D8)="",(C8+D8)=0),"",(C8/(C8+D8)))</f>
        <v>0.54545454545454541</v>
      </c>
      <c r="AE8" s="17">
        <f>IF(OR(F8="",F8=0),"",(M8/F8))</f>
        <v>6.5913978494623651</v>
      </c>
      <c r="AF8" s="34">
        <f>IF(OR(M8="",M8=0,AA8="",AA8=0),"",(Q8/M8*9)/(AA8/100))</f>
        <v>3.2593800978792826</v>
      </c>
      <c r="AG8" s="34">
        <f>(1.19*AE8-0.056*AF8+1.71)*League!$AC$4</f>
        <v>9.4745031396009018</v>
      </c>
      <c r="AH8" s="17">
        <f>IF(OR(League!$M$3="",League!$M$3=0),"",(League!$P$3/League!$M$3*9))</f>
        <v>4.3072548839768867</v>
      </c>
      <c r="AI8" s="17">
        <f>IF(OR(F8="",F8=0,League!$G$3="",League!$G$3=0,League!$M$5="",League!$M$5=0,AA8="",AA8=0),"",((Q8/F8/(AA8/100)+(League!$M$3/League!$G$3-M8/F8)*(League!$P$5/League!$M$5))/(League!$M$3/League!$G$3)*9))</f>
        <v>3.4541191431449239</v>
      </c>
      <c r="AJ8" s="17">
        <f>IF(AH8="","",((AH8+AI8)^0.287))</f>
        <v>1.8005798342552781</v>
      </c>
      <c r="AK8" s="21">
        <f>IF(AM8="","",(AM8*F8))</f>
        <v>18.540304779767059</v>
      </c>
      <c r="AL8" s="21">
        <f>IF(AK8="","",(F8-AK8))</f>
        <v>12.459695220232941</v>
      </c>
      <c r="AM8" s="20">
        <f>IF(AJ8="","",(AH8^AJ8/(AH8^AJ8+AI8^AJ8)))</f>
        <v>0.59807434773442125</v>
      </c>
      <c r="AN8" s="38">
        <f>IF(OR(AG8="",AG8=0),"",IF(((M8/AG8)&gt;=F8),AK8,IF(OR(AM8=1,(AK8-(F8-M8/AG8)*League!$AA$5)&gt;=AK8),AK8,IF(OR(AM8=0,(AK8-(F8-M8/AG8)*League!$AA$5)&lt;=0),0,(AK8-(F8-M8/AG8)*League!$AA$5)))))</f>
        <v>13.792560274785322</v>
      </c>
      <c r="AO8" s="38">
        <f>IF(OR(AG8="",AG8=0),"",IF((W8/AG8)&gt;=F8,AL8,(M8/AG8-AN8)))</f>
        <v>7.7740939679342116</v>
      </c>
      <c r="AP8" s="20">
        <f>IF(OR(AN8="",(AN8+AO8)=0),"",(AN8/(AN8+AO8)))</f>
        <v>0.63953175673697327</v>
      </c>
      <c r="AQ8" s="22">
        <f>IF(AN8="","",((C8-AN8)+(AO8-D8)))</f>
        <v>-4.0184663068511099</v>
      </c>
    </row>
    <row r="9" spans="1:47" x14ac:dyDescent="0.3">
      <c r="A9" s="15" t="s">
        <v>37</v>
      </c>
      <c r="B9" s="16" t="s">
        <v>30</v>
      </c>
      <c r="C9" s="16">
        <v>10</v>
      </c>
      <c r="D9" s="16">
        <v>9</v>
      </c>
      <c r="E9" s="17">
        <f>IF(OR(M9="",M9=0),"",(R9/M9*9))</f>
        <v>3.4225352112676055</v>
      </c>
      <c r="F9" s="16">
        <v>33</v>
      </c>
      <c r="G9" s="16">
        <v>33</v>
      </c>
      <c r="H9" s="16">
        <v>2</v>
      </c>
      <c r="I9" s="16">
        <v>2</v>
      </c>
      <c r="J9" s="16">
        <v>0</v>
      </c>
      <c r="K9" s="16">
        <v>0</v>
      </c>
      <c r="L9" s="16">
        <v>0</v>
      </c>
      <c r="M9" s="18">
        <f>IF(N9="","",(INT(N9)+(N9-INT(N9))*10/3))</f>
        <v>213</v>
      </c>
      <c r="N9" s="16">
        <v>213</v>
      </c>
      <c r="O9" s="16">
        <v>894</v>
      </c>
      <c r="P9" s="16">
        <v>210</v>
      </c>
      <c r="Q9" s="16">
        <v>90</v>
      </c>
      <c r="R9" s="16">
        <v>81</v>
      </c>
      <c r="S9" s="16">
        <v>20</v>
      </c>
      <c r="T9" s="16">
        <v>64</v>
      </c>
      <c r="U9" s="16">
        <v>0</v>
      </c>
      <c r="V9" s="16">
        <v>3</v>
      </c>
      <c r="W9" s="16">
        <v>9</v>
      </c>
      <c r="X9" s="16">
        <v>1</v>
      </c>
      <c r="Y9" s="16">
        <v>189</v>
      </c>
      <c r="Z9" s="17">
        <f>IF(OR(M9="",M9=0),"",((13*S9+3*(T9+V9)-2*Y9)/M9+League!$Y$2))</f>
        <v>3.4375256681608688</v>
      </c>
      <c r="AA9" s="16">
        <f>VLOOKUP(B9,BPF!$A$2:$B$31,2,FALSE)</f>
        <v>106</v>
      </c>
      <c r="AB9" s="19">
        <f>IF(OR(E9="",E9=0),"",(E9/(League!$E$3*AA9/100)*100))</f>
        <v>80.858295892070302</v>
      </c>
      <c r="AC9" s="19">
        <f>IF(OR(Z9="",Z9=0),"",(Z9/(League!$Y$3*AA9/100)*100))</f>
        <v>81.773561097076282</v>
      </c>
      <c r="AD9" s="20">
        <f>IF(OR((C9+D9)="",(C9+D9)=0),"",(C9/(C9+D9)))</f>
        <v>0.52631578947368418</v>
      </c>
      <c r="AE9" s="17">
        <f>IF(OR(F9="",F9=0),"",(M9/F9))</f>
        <v>6.4545454545454541</v>
      </c>
      <c r="AF9" s="34">
        <f>IF(OR(M9="",M9=0,AA9="",AA9=0),"",(Q9/M9*9)/(AA9/100))</f>
        <v>3.5875631145362741</v>
      </c>
      <c r="AG9" s="34">
        <f>(1.19*AE9-0.056*AF9+1.71)*League!$AC$4</f>
        <v>9.2912734746779044</v>
      </c>
      <c r="AH9" s="17">
        <f>IF(OR(League!$M$3="",League!$M$3=0),"",(League!$P$3/League!$M$3*9))</f>
        <v>4.3072548839768867</v>
      </c>
      <c r="AI9" s="17">
        <f>IF(OR(F9="",F9=0,League!$G$3="",League!$G$3=0,League!$M$5="",League!$M$5=0,AA9="",AA9=0),"",((Q9/F9/(AA9/100)+(League!$M$3/League!$G$3-M9/F9)*(League!$P$5/League!$M$5))/(League!$M$3/League!$G$3)*9))</f>
        <v>3.7015895979967262</v>
      </c>
      <c r="AJ9" s="17">
        <f>IF(AH9="","",((AH9+AI9)^0.287))</f>
        <v>1.816872911787315</v>
      </c>
      <c r="AK9" s="21">
        <f>IF(AM9="","",(AM9*F9))</f>
        <v>18.757199308206769</v>
      </c>
      <c r="AL9" s="21">
        <f>IF(AK9="","",(F9-AK9))</f>
        <v>14.242800691793231</v>
      </c>
      <c r="AM9" s="20">
        <f>IF(AJ9="","",(AH9^AJ9/(AH9^AJ9+AI9^AJ9)))</f>
        <v>0.56839997903656869</v>
      </c>
      <c r="AN9" s="38">
        <f>IF(OR(AG9="",AG9=0),"",IF(((M9/AG9)&gt;=F9),AK9,IF(OR(AM9=1,(AK9-(F9-M9/AG9)*League!$AA$5)&gt;=AK9),AK9,IF(OR(AM9=0,(AK9-(F9-M9/AG9)*League!$AA$5)&lt;=0),0,(AK9-(F9-M9/AG9)*League!$AA$5)))))</f>
        <v>13.686381786499172</v>
      </c>
      <c r="AO9" s="38">
        <f>IF(OR(AG9="",AG9=0),"",IF((W9/AG9)&gt;=F9,AL9,(M9/AG9-AN9)))</f>
        <v>9.2383551271760496</v>
      </c>
      <c r="AP9" s="20">
        <f>IF(OR(AN9="",(AN9+AO9)=0),"",(AN9/(AN9+AO9)))</f>
        <v>0.59701369040945795</v>
      </c>
      <c r="AQ9" s="22">
        <f>IF(AN9="","",((C9-AN9)+(AO9-D9)))</f>
        <v>-3.4480266593231228</v>
      </c>
    </row>
    <row r="10" spans="1:47" x14ac:dyDescent="0.3">
      <c r="A10" s="15" t="s">
        <v>44</v>
      </c>
      <c r="B10" s="16" t="s">
        <v>41</v>
      </c>
      <c r="C10" s="16">
        <v>13</v>
      </c>
      <c r="D10" s="16">
        <v>9</v>
      </c>
      <c r="E10" s="17">
        <f>IF(OR(M10="",M10=0),"",(R10/M10*9))</f>
        <v>3.1486880466472309</v>
      </c>
      <c r="F10" s="16">
        <v>34</v>
      </c>
      <c r="G10" s="16">
        <v>34</v>
      </c>
      <c r="H10" s="16">
        <v>2</v>
      </c>
      <c r="I10" s="16">
        <v>0</v>
      </c>
      <c r="J10" s="16">
        <v>0</v>
      </c>
      <c r="K10" s="16">
        <v>0</v>
      </c>
      <c r="L10" s="16">
        <v>0</v>
      </c>
      <c r="M10" s="18">
        <f>IF(N10="","",(INT(N10)+(N10-INT(N10))*10/3))</f>
        <v>228.66666666666663</v>
      </c>
      <c r="N10" s="16">
        <v>228.2</v>
      </c>
      <c r="O10" s="16">
        <v>946</v>
      </c>
      <c r="P10" s="16">
        <v>215</v>
      </c>
      <c r="Q10" s="16">
        <v>82</v>
      </c>
      <c r="R10" s="16">
        <v>80</v>
      </c>
      <c r="S10" s="16">
        <v>20</v>
      </c>
      <c r="T10" s="16">
        <v>68</v>
      </c>
      <c r="U10" s="16">
        <v>0</v>
      </c>
      <c r="V10" s="16">
        <v>8</v>
      </c>
      <c r="W10" s="16">
        <v>11</v>
      </c>
      <c r="X10" s="16">
        <v>2</v>
      </c>
      <c r="Y10" s="16">
        <v>196</v>
      </c>
      <c r="Z10" s="17">
        <f>IF(OR(M10="",M10=0),"",((13*S10+3*(T10+V10)-2*Y10)/M10+League!$Y$2))</f>
        <v>3.4676793795448186</v>
      </c>
      <c r="AA10" s="16">
        <f>VLOOKUP(B10,BPF!$A$2:$B$31,2,FALSE)</f>
        <v>102</v>
      </c>
      <c r="AB10" s="19">
        <f>IF(OR(E10="",E10=0),"",(E10/(League!$E$3*AA10/100)*100))</f>
        <v>77.305783886090452</v>
      </c>
      <c r="AC10" s="19">
        <f>IF(OR(Z10="",Z10=0),"",(Z10/(League!$Y$3*AA10/100)*100))</f>
        <v>85.72580867663514</v>
      </c>
      <c r="AD10" s="20">
        <f>IF(OR((C10+D10)="",(C10+D10)=0),"",(C10/(C10+D10)))</f>
        <v>0.59090909090909094</v>
      </c>
      <c r="AE10" s="17">
        <f>IF(OR(F10="",F10=0),"",(M10/F10))</f>
        <v>6.7254901960784306</v>
      </c>
      <c r="AF10" s="34">
        <f>IF(OR(M10="",M10=0,AA10="",AA10=0),"",(Q10/M10*9)/(AA10/100))</f>
        <v>3.164122791973933</v>
      </c>
      <c r="AG10" s="34">
        <f>(1.19*AE10-0.056*AF10+1.71)*League!$AC$4</f>
        <v>9.6412245799670568</v>
      </c>
      <c r="AH10" s="17">
        <f>IF(OR(League!$M$3="",League!$M$3=0),"",(League!$P$3/League!$M$3*9))</f>
        <v>4.3072548839768867</v>
      </c>
      <c r="AI10" s="17">
        <f>IF(OR(F10="",F10=0,League!$G$3="",League!$G$3=0,League!$M$5="",League!$M$5=0,AA10="",AA10=0),"",((Q10/F10/(AA10/100)+(League!$M$3/League!$G$3-M10/F10)*(League!$P$5/League!$M$5))/(League!$M$3/League!$G$3)*9))</f>
        <v>3.3716724118976686</v>
      </c>
      <c r="AJ10" s="17">
        <f>IF(AH10="","",((AH10+AI10)^0.287))</f>
        <v>1.7950694652683619</v>
      </c>
      <c r="AK10" s="21">
        <f>IF(AM10="","",(AM10*F10))</f>
        <v>20.677549828098652</v>
      </c>
      <c r="AL10" s="21">
        <f>IF(AK10="","",(F10-AK10))</f>
        <v>13.322450171901348</v>
      </c>
      <c r="AM10" s="20">
        <f>IF(AJ10="","",(AH10^AJ10/(AH10^AJ10+AI10^AJ10)))</f>
        <v>0.60816323023819563</v>
      </c>
      <c r="AN10" s="38">
        <f>IF(OR(AG10="",AG10=0),"",IF(((M10/AG10)&gt;=F10),AK10,IF(OR(AM10=1,(AK10-(F10-M10/AG10)*League!$AA$5)&gt;=AK10),AK10,IF(OR(AM10=0,(AK10-(F10-M10/AG10)*League!$AA$5)&lt;=0),0,(AK10-(F10-M10/AG10)*League!$AA$5)))))</f>
        <v>15.502479417603718</v>
      </c>
      <c r="AO10" s="38">
        <f>IF(OR(AG10="",AG10=0),"",IF((W10/AG10)&gt;=F10,AL10,(M10/AG10-AN10)))</f>
        <v>8.2151162851039938</v>
      </c>
      <c r="AP10" s="20">
        <f>IF(OR(AN10="",(AN10+AO10)=0),"",(AN10/(AN10+AO10)))</f>
        <v>0.65362777964184127</v>
      </c>
      <c r="AQ10" s="22">
        <f>IF(AN10="","",((C10-AN10)+(AO10-D10)))</f>
        <v>-3.2873631324997241</v>
      </c>
    </row>
    <row r="11" spans="1:47" x14ac:dyDescent="0.3">
      <c r="A11" s="15" t="s">
        <v>48</v>
      </c>
      <c r="B11" s="16" t="s">
        <v>28</v>
      </c>
      <c r="C11" s="16">
        <v>13</v>
      </c>
      <c r="D11" s="16">
        <v>12</v>
      </c>
      <c r="E11" s="17">
        <f>IF(OR(M11="",M11=0),"",(R11/M11*9))</f>
        <v>3.4625954198473288</v>
      </c>
      <c r="F11" s="16">
        <v>34</v>
      </c>
      <c r="G11" s="16">
        <v>34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8">
        <f>IF(N11="","",(INT(N11)+(N11-INT(N11))*10/3))</f>
        <v>218.33333333333331</v>
      </c>
      <c r="N11" s="16">
        <v>218.1</v>
      </c>
      <c r="O11" s="16">
        <v>925</v>
      </c>
      <c r="P11" s="16">
        <v>212</v>
      </c>
      <c r="Q11" s="16">
        <v>94</v>
      </c>
      <c r="R11" s="16">
        <v>84</v>
      </c>
      <c r="S11" s="16">
        <v>19</v>
      </c>
      <c r="T11" s="16">
        <v>75</v>
      </c>
      <c r="U11" s="16">
        <v>1</v>
      </c>
      <c r="V11" s="16">
        <v>4</v>
      </c>
      <c r="W11" s="16">
        <v>3</v>
      </c>
      <c r="X11" s="16">
        <v>1</v>
      </c>
      <c r="Y11" s="16">
        <v>217</v>
      </c>
      <c r="Z11" s="17">
        <f>IF(OR(M11="",M11=0),"",((13*S11+3*(T11+V11)-2*Y11)/M11+League!$Y$2))</f>
        <v>3.2768619402463077</v>
      </c>
      <c r="AA11" s="16">
        <f>VLOOKUP(B11,BPF!$A$2:$B$31,2,FALSE)</f>
        <v>102</v>
      </c>
      <c r="AB11" s="19">
        <f>IF(OR(E11="",E11=0),"",(E11/(League!$E$3*AA11/100)*100))</f>
        <v>85.0127574551923</v>
      </c>
      <c r="AC11" s="19">
        <f>IF(OR(Z11="",Z11=0),"",(Z11/(League!$Y$3*AA11/100)*100))</f>
        <v>81.008538853489952</v>
      </c>
      <c r="AD11" s="20">
        <f>IF(OR((C11+D11)="",(C11+D11)=0),"",(C11/(C11+D11)))</f>
        <v>0.52</v>
      </c>
      <c r="AE11" s="17">
        <f>IF(OR(F11="",F11=0),"",(M11/F11))</f>
        <v>6.4215686274509798</v>
      </c>
      <c r="AF11" s="34">
        <f>IF(OR(M11="",M11=0,AA11="",AA11=0),"",(Q11/M11*9)/(AA11/100))</f>
        <v>3.7988325101032778</v>
      </c>
      <c r="AG11" s="34">
        <f>(1.19*AE11-0.056*AF11+1.71)*League!$AC$4</f>
        <v>9.239637167227718</v>
      </c>
      <c r="AH11" s="17">
        <f>IF(OR(League!$M$3="",League!$M$3=0),"",(League!$P$3/League!$M$3*9))</f>
        <v>4.3072548839768867</v>
      </c>
      <c r="AI11" s="17">
        <f>IF(OR(F11="",F11=0,League!$G$3="",League!$G$3=0,League!$M$5="",League!$M$5=0,AA11="",AA11=0),"",((Q11/F11/(AA11/100)+(League!$M$3/League!$G$3-M11/F11)*(League!$P$5/League!$M$5))/(League!$M$3/League!$G$3)*9))</f>
        <v>3.8543958430912086</v>
      </c>
      <c r="AJ11" s="17">
        <f>IF(AH11="","",((AH11+AI11)^0.287))</f>
        <v>1.8267549278393926</v>
      </c>
      <c r="AK11" s="21">
        <f>IF(AM11="","",(AM11*F11))</f>
        <v>18.718991615624923</v>
      </c>
      <c r="AL11" s="21">
        <f>IF(AK11="","",(F11-AK11))</f>
        <v>15.281008384375077</v>
      </c>
      <c r="AM11" s="20">
        <f>IF(AJ11="","",(AH11^AJ11/(AH11^AJ11+AI11^AJ11)))</f>
        <v>0.55055857693014476</v>
      </c>
      <c r="AN11" s="38">
        <f>IF(OR(AG11="",AG11=0),"",IF(((M11/AG11)&gt;=F11),AK11,IF(OR(AM11=1,(AK11-(F11-M11/AG11)*League!$AA$5)&gt;=AK11),AK11,IF(OR(AM11=0,(AK11-(F11-M11/AG11)*League!$AA$5)&lt;=0),0,(AK11-(F11-M11/AG11)*League!$AA$5)))))</f>
        <v>13.499873345403257</v>
      </c>
      <c r="AO11" s="38">
        <f>IF(OR(AG11="",AG11=0),"",IF((W11/AG11)&gt;=F11,AL11,(M11/AG11-AN11)))</f>
        <v>10.130203180517571</v>
      </c>
      <c r="AP11" s="20">
        <f>IF(OR(AN11="",(AN11+AO11)=0),"",(AN11/(AN11+AO11)))</f>
        <v>0.57130044968727367</v>
      </c>
      <c r="AQ11" s="22">
        <f>IF(AN11="","",((C11-AN11)+(AO11-D11)))</f>
        <v>-2.3696701648856866</v>
      </c>
    </row>
    <row r="12" spans="1:47" x14ac:dyDescent="0.3">
      <c r="A12" s="15" t="s">
        <v>51</v>
      </c>
      <c r="B12" s="16" t="s">
        <v>32</v>
      </c>
      <c r="C12" s="16">
        <v>9</v>
      </c>
      <c r="D12" s="16">
        <v>7</v>
      </c>
      <c r="E12" s="17">
        <f>IF(OR(M12="",M12=0),"",(R12/M12*9))</f>
        <v>3.5100000000000002</v>
      </c>
      <c r="F12" s="16">
        <v>33</v>
      </c>
      <c r="G12" s="16">
        <v>33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8">
        <f>IF(N12="","",(INT(N12)+(N12-INT(N12))*10/3))</f>
        <v>200</v>
      </c>
      <c r="N12" s="16">
        <v>200</v>
      </c>
      <c r="O12" s="16">
        <v>832</v>
      </c>
      <c r="P12" s="16">
        <v>188</v>
      </c>
      <c r="Q12" s="16">
        <v>83</v>
      </c>
      <c r="R12" s="16">
        <v>78</v>
      </c>
      <c r="S12" s="16">
        <v>23</v>
      </c>
      <c r="T12" s="16">
        <v>56</v>
      </c>
      <c r="U12" s="16">
        <v>2</v>
      </c>
      <c r="V12" s="16">
        <v>5</v>
      </c>
      <c r="W12" s="16">
        <v>2</v>
      </c>
      <c r="X12" s="16">
        <v>1</v>
      </c>
      <c r="Y12" s="16">
        <v>164</v>
      </c>
      <c r="Z12" s="17">
        <f>IF(OR(M12="",M12=0),"",((13*S12+3*(T12+V12)-2*Y12)/M12+League!$Y$2))</f>
        <v>3.8178543066585213</v>
      </c>
      <c r="AA12" s="16">
        <f>VLOOKUP(B12,BPF!$A$2:$B$31,2,FALSE)</f>
        <v>104</v>
      </c>
      <c r="AB12" s="19">
        <f>IF(OR(E12="",E12=0),"",(E12/(League!$E$3*AA12/100)*100))</f>
        <v>84.519379844961264</v>
      </c>
      <c r="AC12" s="19">
        <f>IF(OR(Z12="",Z12=0),"",(Z12/(League!$Y$3*AA12/100)*100))</f>
        <v>92.567564718569201</v>
      </c>
      <c r="AD12" s="20">
        <f>IF(OR((C12+D12)="",(C12+D12)=0),"",(C12/(C12+D12)))</f>
        <v>0.5625</v>
      </c>
      <c r="AE12" s="17">
        <f>IF(OR(F12="",F12=0),"",(M12/F12))</f>
        <v>6.0606060606060606</v>
      </c>
      <c r="AF12" s="34">
        <f>IF(OR(M12="",M12=0,AA12="",AA12=0),"",(Q12/M12*9)/(AA12/100))</f>
        <v>3.5913461538461537</v>
      </c>
      <c r="AG12" s="34">
        <f>(1.19*AE12-0.056*AF12+1.71)*League!$AC$4</f>
        <v>8.8171056719708627</v>
      </c>
      <c r="AH12" s="17">
        <f>IF(OR(League!$M$3="",League!$M$3=0),"",(League!$P$3/League!$M$3*9))</f>
        <v>4.3072548839768867</v>
      </c>
      <c r="AI12" s="17">
        <f>IF(OR(F12="",F12=0,League!$G$3="",League!$G$3=0,League!$M$5="",League!$M$5=0,AA12="",AA12=0),"",((Q12/F12/(AA12/100)+(League!$M$3/League!$G$3-M12/F12)*(League!$P$5/League!$M$5))/(League!$M$3/League!$G$3)*9))</f>
        <v>3.7220305242121086</v>
      </c>
      <c r="AJ12" s="17">
        <f>IF(AH12="","",((AH12+AI12)^0.287))</f>
        <v>1.818202577257755</v>
      </c>
      <c r="AK12" s="21">
        <f>IF(AM12="","",(AM12*F12))</f>
        <v>18.677717639019725</v>
      </c>
      <c r="AL12" s="21">
        <f>IF(AK12="","",(F12-AK12))</f>
        <v>14.322282360980275</v>
      </c>
      <c r="AM12" s="20">
        <f>IF(AJ12="","",(AH12^AJ12/(AH12^AJ12+AI12^AJ12)))</f>
        <v>0.56599144360665832</v>
      </c>
      <c r="AN12" s="38">
        <f>IF(OR(AG12="",AG12=0),"",IF(((M12/AG12)&gt;=F12),AK12,IF(OR(AM12=1,(AK12-(F12-M12/AG12)*League!$AA$5)&gt;=AK12),AK12,IF(OR(AM12=0,(AK12-(F12-M12/AG12)*League!$AA$5)&lt;=0),0,(AK12-(F12-M12/AG12)*League!$AA$5)))))</f>
        <v>13.485326301799857</v>
      </c>
      <c r="AO12" s="38">
        <f>IF(OR(AG12="",AG12=0),"",IF((W12/AG12)&gt;=F12,AL12,(M12/AG12-AN12)))</f>
        <v>9.1978542611585734</v>
      </c>
      <c r="AP12" s="20">
        <f>IF(OR(AN12="",(AN12+AO12)=0),"",(AN12/(AN12+AO12)))</f>
        <v>0.59450773511988686</v>
      </c>
      <c r="AQ12" s="22">
        <f>IF(AN12="","",((C12-AN12)+(AO12-D12)))</f>
        <v>-2.2874720406412834</v>
      </c>
    </row>
    <row r="13" spans="1:47" x14ac:dyDescent="0.3">
      <c r="A13" s="15" t="s">
        <v>27</v>
      </c>
      <c r="B13" s="16" t="s">
        <v>28</v>
      </c>
      <c r="C13" s="16">
        <v>14</v>
      </c>
      <c r="D13" s="16">
        <v>8</v>
      </c>
      <c r="E13" s="17">
        <f>IF(OR(M13="",M13=0),"",(R13/M13*9))</f>
        <v>2.5714285714285712</v>
      </c>
      <c r="F13" s="16">
        <v>29</v>
      </c>
      <c r="G13" s="16">
        <v>29</v>
      </c>
      <c r="H13" s="16">
        <v>1</v>
      </c>
      <c r="I13" s="16">
        <v>1</v>
      </c>
      <c r="J13" s="16">
        <v>0</v>
      </c>
      <c r="K13" s="16">
        <v>0</v>
      </c>
      <c r="L13" s="16">
        <v>0</v>
      </c>
      <c r="M13" s="18">
        <f>IF(N13="","",(INT(N13)+(N13-INT(N13))*10/3))</f>
        <v>182</v>
      </c>
      <c r="N13" s="16">
        <v>182</v>
      </c>
      <c r="O13" s="16">
        <v>746</v>
      </c>
      <c r="P13" s="16">
        <v>156</v>
      </c>
      <c r="Q13" s="16">
        <v>56</v>
      </c>
      <c r="R13" s="16">
        <v>52</v>
      </c>
      <c r="S13" s="16">
        <v>9</v>
      </c>
      <c r="T13" s="16">
        <v>54</v>
      </c>
      <c r="U13" s="16">
        <v>1</v>
      </c>
      <c r="V13" s="16">
        <v>2</v>
      </c>
      <c r="W13" s="16">
        <v>7</v>
      </c>
      <c r="X13" s="16">
        <v>0</v>
      </c>
      <c r="Y13" s="16">
        <v>202</v>
      </c>
      <c r="Z13" s="17">
        <f>IF(OR(M13="",M13=0),"",((13*S13+3*(T13+V13)-2*Y13)/M13+League!$Y$2))</f>
        <v>2.3940081528123676</v>
      </c>
      <c r="AA13" s="16">
        <f>VLOOKUP(B13,BPF!$A$2:$B$31,2,FALSE)</f>
        <v>102</v>
      </c>
      <c r="AB13" s="19">
        <f>IF(OR(E13="",E13=0),"",(E13/(League!$E$3*AA13/100)*100))</f>
        <v>63.133056840307191</v>
      </c>
      <c r="AC13" s="19">
        <f>IF(OR(Z13="",Z13=0),"",(Z13/(League!$Y$3*AA13/100)*100))</f>
        <v>59.183177686178354</v>
      </c>
      <c r="AD13" s="20">
        <f>IF(OR((C13+D13)="",(C13+D13)=0),"",(C13/(C13+D13)))</f>
        <v>0.63636363636363635</v>
      </c>
      <c r="AE13" s="17">
        <f>IF(OR(F13="",F13=0),"",(M13/F13))</f>
        <v>6.2758620689655169</v>
      </c>
      <c r="AF13" s="34">
        <f>IF(OR(M13="",M13=0,AA13="",AA13=0),"",(Q13/M13*9)/(AA13/100))</f>
        <v>2.7149321266968323</v>
      </c>
      <c r="AG13" s="34">
        <f>(1.19*AE13-0.056*AF13+1.71)*League!$AC$4</f>
        <v>9.1257029869153286</v>
      </c>
      <c r="AH13" s="17">
        <f>IF(OR(League!$M$3="",League!$M$3=0),"",(League!$P$3/League!$M$3*9))</f>
        <v>4.3072548839768867</v>
      </c>
      <c r="AI13" s="17">
        <f>IF(OR(F13="",F13=0,League!$G$3="",League!$G$3=0,League!$M$5="",League!$M$5=0,AA13="",AA13=0),"",((Q13/F13/(AA13/100)+(League!$M$3/League!$G$3-M13/F13)*(League!$P$5/League!$M$5))/(League!$M$3/League!$G$3)*9))</f>
        <v>3.0989118384862921</v>
      </c>
      <c r="AJ13" s="17">
        <f>IF(AH13="","",((AH13+AI13)^0.287))</f>
        <v>1.7765332080922716</v>
      </c>
      <c r="AK13" s="21">
        <f>IF(AM13="","",(AM13*F13))</f>
        <v>18.623783407065272</v>
      </c>
      <c r="AL13" s="21">
        <f>IF(AK13="","",(F13-AK13))</f>
        <v>10.376216592934728</v>
      </c>
      <c r="AM13" s="20">
        <f>IF(AJ13="","",(AH13^AJ13/(AH13^AJ13+AI13^AJ13)))</f>
        <v>0.64219942782983697</v>
      </c>
      <c r="AN13" s="38">
        <f>IF(OR(AG13="",AG13=0),"",IF(((M13/AG13)&gt;=F13),AK13,IF(OR(AM13=1,(AK13-(F13-M13/AG13)*League!$AA$5)&gt;=AK13),AK13,IF(OR(AM13=0,(AK13-(F13-M13/AG13)*League!$AA$5)&lt;=0),0,(AK13-(F13-M13/AG13)*League!$AA$5)))))</f>
        <v>14.06578810786381</v>
      </c>
      <c r="AO13" s="38">
        <f>IF(OR(AG13="",AG13=0),"",IF((W13/AG13)&gt;=F13,AL13,(M13/AG13-AN13)))</f>
        <v>5.8778809180683673</v>
      </c>
      <c r="AP13" s="48">
        <f>IF(OR(AN13="",(AN13+AO13)=0),"",(AN13/(AN13+AO13)))</f>
        <v>0.70527584917170816</v>
      </c>
      <c r="AQ13" s="22">
        <f>IF(AN13="","",((C13-AN13)+(AO13-D13)))</f>
        <v>-2.1879071897954425</v>
      </c>
    </row>
    <row r="14" spans="1:47" x14ac:dyDescent="0.3">
      <c r="A14" s="15" t="s">
        <v>68</v>
      </c>
      <c r="B14" s="16" t="s">
        <v>26</v>
      </c>
      <c r="C14" s="16">
        <v>11</v>
      </c>
      <c r="D14" s="16">
        <v>11</v>
      </c>
      <c r="E14" s="17">
        <f>IF(OR(M14="",M14=0),"",(R14/M14*9))</f>
        <v>3.7392086330935252</v>
      </c>
      <c r="F14" s="16">
        <v>30</v>
      </c>
      <c r="G14" s="16">
        <v>30</v>
      </c>
      <c r="H14" s="16">
        <v>1</v>
      </c>
      <c r="I14" s="16">
        <v>0</v>
      </c>
      <c r="J14" s="16">
        <v>0</v>
      </c>
      <c r="K14" s="16">
        <v>0</v>
      </c>
      <c r="L14" s="16">
        <v>0</v>
      </c>
      <c r="M14" s="18">
        <f>IF(N14="","",(INT(N14)+(N14-INT(N14))*10/3))</f>
        <v>185.33333333333331</v>
      </c>
      <c r="N14" s="16">
        <v>185.1</v>
      </c>
      <c r="O14" s="16">
        <v>784</v>
      </c>
      <c r="P14" s="16">
        <v>198</v>
      </c>
      <c r="Q14" s="16">
        <v>85</v>
      </c>
      <c r="R14" s="16">
        <v>77</v>
      </c>
      <c r="S14" s="16">
        <v>17</v>
      </c>
      <c r="T14" s="16">
        <v>48</v>
      </c>
      <c r="U14" s="16">
        <v>1</v>
      </c>
      <c r="V14" s="16">
        <v>4</v>
      </c>
      <c r="W14" s="16">
        <v>6</v>
      </c>
      <c r="X14" s="16">
        <v>0</v>
      </c>
      <c r="Y14" s="16">
        <v>128</v>
      </c>
      <c r="Z14" s="17">
        <f>IF(OR(M14="",M14=0),"",((13*S14+3*(T14+V14)-2*Y14)/M14+League!$Y$2))</f>
        <v>3.7007320045002481</v>
      </c>
      <c r="AA14" s="16">
        <f>VLOOKUP(B14,BPF!$A$2:$B$31,2,FALSE)</f>
        <v>103</v>
      </c>
      <c r="AB14" s="19">
        <f>IF(OR(E14="",E14=0),"",(E14/(League!$E$3*AA14/100)*100))</f>
        <v>90.912792457386544</v>
      </c>
      <c r="AC14" s="19">
        <f>IF(OR(Z14="",Z14=0),"",(Z14/(League!$Y$3*AA14/100)*100))</f>
        <v>90.598965290100182</v>
      </c>
      <c r="AD14" s="20">
        <f>IF(OR((C14+D14)="",(C14+D14)=0),"",(C14/(C14+D14)))</f>
        <v>0.5</v>
      </c>
      <c r="AE14" s="17">
        <f>IF(OR(F14="",F14=0),"",(M14/F14))</f>
        <v>6.1777777777777771</v>
      </c>
      <c r="AF14" s="34">
        <f>IF(OR(M14="",M14=0,AA14="",AA14=0),"",(Q14/M14*9)/(AA14/100))</f>
        <v>4.0074736327442899</v>
      </c>
      <c r="AG14" s="34">
        <f>(1.19*AE14-0.056*AF14+1.71)*League!$AC$4</f>
        <v>8.9345165673613298</v>
      </c>
      <c r="AH14" s="17">
        <f>IF(OR(League!$M$3="",League!$M$3=0),"",(League!$P$3/League!$M$3*9))</f>
        <v>4.3072548839768867</v>
      </c>
      <c r="AI14" s="17">
        <f>IF(OR(F14="",F14=0,League!$G$3="",League!$G$3=0,League!$M$5="",League!$M$5=0,AA14="",AA14=0),"",((Q14/F14/(AA14/100)+(League!$M$3/League!$G$3-M14/F14)*(League!$P$5/League!$M$5))/(League!$M$3/League!$G$3)*9))</f>
        <v>4.0034729078458424</v>
      </c>
      <c r="AJ14" s="17">
        <f>IF(AH14="","",((AH14+AI14)^0.287))</f>
        <v>1.8362694527262995</v>
      </c>
      <c r="AK14" s="21">
        <f>IF(AM14="","",(AM14*F14))</f>
        <v>16.00575465706126</v>
      </c>
      <c r="AL14" s="21">
        <f>IF(AK14="","",(F14-AK14))</f>
        <v>13.99424534293874</v>
      </c>
      <c r="AM14" s="20">
        <f>IF(AJ14="","",(AH14^AJ14/(AH14^AJ14+AI14^AJ14)))</f>
        <v>0.53352515523537536</v>
      </c>
      <c r="AN14" s="38">
        <f>IF(OR(AG14="",AG14=0),"",IF(((M14/AG14)&gt;=F14),AK14,IF(OR(AM14=1,(AK14-(F14-M14/AG14)*League!$AA$5)&gt;=AK14),AK14,IF(OR(AM14=0,(AK14-(F14-M14/AG14)*League!$AA$5)&lt;=0),0,(AK14-(F14-M14/AG14)*League!$AA$5)))))</f>
        <v>11.347026168656912</v>
      </c>
      <c r="AO14" s="38">
        <f>IF(OR(AG14="",AG14=0),"",IF((W14/AG14)&gt;=F14,AL14,(M14/AG14-AN14)))</f>
        <v>9.3964949761103664</v>
      </c>
      <c r="AP14" s="20">
        <f>IF(OR(AN14="",(AN14+AO14)=0),"",(AN14/(AN14+AO14)))</f>
        <v>0.54701543144324327</v>
      </c>
      <c r="AQ14" s="22">
        <f>IF(AN14="","",((C14-AN14)+(AO14-D14)))</f>
        <v>-1.9505311925465456</v>
      </c>
    </row>
    <row r="15" spans="1:47" x14ac:dyDescent="0.3">
      <c r="A15" s="15" t="s">
        <v>36</v>
      </c>
      <c r="B15" s="16" t="s">
        <v>24</v>
      </c>
      <c r="C15" s="16">
        <v>14</v>
      </c>
      <c r="D15" s="16">
        <v>6</v>
      </c>
      <c r="E15" s="17">
        <f>IF(OR(M15="",M15=0),"",(R15/M15*9))</f>
        <v>2.6631259484066772</v>
      </c>
      <c r="F15" s="16">
        <v>33</v>
      </c>
      <c r="G15" s="16">
        <v>33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8">
        <f>IF(N15="","",(INT(N15)+(N15-INT(N15))*10/3))</f>
        <v>219.66666666666663</v>
      </c>
      <c r="N15" s="16">
        <v>219.2</v>
      </c>
      <c r="O15" s="16">
        <v>866</v>
      </c>
      <c r="P15" s="16">
        <v>179</v>
      </c>
      <c r="Q15" s="16">
        <v>69</v>
      </c>
      <c r="R15" s="16">
        <v>65</v>
      </c>
      <c r="S15" s="16">
        <v>25</v>
      </c>
      <c r="T15" s="16">
        <v>42</v>
      </c>
      <c r="U15" s="16">
        <v>4</v>
      </c>
      <c r="V15" s="16">
        <v>2</v>
      </c>
      <c r="W15" s="16">
        <v>10</v>
      </c>
      <c r="X15" s="16">
        <v>0</v>
      </c>
      <c r="Y15" s="16">
        <v>185</v>
      </c>
      <c r="Z15" s="17">
        <f>IF(OR(M15="",M15=0),"",((13*S15+3*(T15+V15)-2*Y15)/M15+League!$Y$2))</f>
        <v>3.4439089348831042</v>
      </c>
      <c r="AA15" s="16">
        <f>VLOOKUP(B15,BPF!$A$2:$B$31,2,FALSE)</f>
        <v>100</v>
      </c>
      <c r="AB15" s="19">
        <f>IF(OR(E15="",E15=0),"",(E15/(League!$E$3*AA15/100)*100))</f>
        <v>66.692075143216783</v>
      </c>
      <c r="AC15" s="19">
        <f>IF(OR(Z15="",Z15=0),"",(Z15/(League!$Y$3*AA15/100)*100))</f>
        <v>86.840933967806023</v>
      </c>
      <c r="AD15" s="20">
        <f>IF(OR((C15+D15)="",(C15+D15)=0),"",(C15/(C15+D15)))</f>
        <v>0.7</v>
      </c>
      <c r="AE15" s="17">
        <f>IF(OR(F15="",F15=0),"",(M15/F15))</f>
        <v>6.6565656565656557</v>
      </c>
      <c r="AF15" s="34">
        <f>IF(OR(M15="",M15=0,AA15="",AA15=0),"",(Q15/M15*9)/(AA15/100))</f>
        <v>2.8270106221547802</v>
      </c>
      <c r="AG15" s="34">
        <f>(1.19*AE15-0.056*AF15+1.71)*League!$AC$4</f>
        <v>9.5773868763257113</v>
      </c>
      <c r="AH15" s="17">
        <f>IF(OR(League!$M$3="",League!$M$3=0),"",(League!$P$3/League!$M$3*9))</f>
        <v>4.3072548839768867</v>
      </c>
      <c r="AI15" s="17">
        <f>IF(OR(F15="",F15=0,League!$G$3="",League!$G$3=0,League!$M$5="",League!$M$5=0,AA15="",AA15=0),"",((Q15/F15/(AA15/100)+(League!$M$3/League!$G$3-M15/F15)*(League!$P$5/League!$M$5))/(League!$M$3/League!$G$3)*9))</f>
        <v>3.1277844594340678</v>
      </c>
      <c r="AJ15" s="17">
        <f>IF(AH15="","",((AH15+AI15)^0.287))</f>
        <v>1.778518138529664</v>
      </c>
      <c r="AK15" s="21">
        <f>IF(AM15="","",(AM15*F15))</f>
        <v>21.072200474085705</v>
      </c>
      <c r="AL15" s="21">
        <f>IF(AK15="","",(F15-AK15))</f>
        <v>11.927799525914295</v>
      </c>
      <c r="AM15" s="20">
        <f>IF(AJ15="","",(AH15^AJ15/(AH15^AJ15+AI15^AJ15)))</f>
        <v>0.63855152951774863</v>
      </c>
      <c r="AN15" s="38">
        <f>IF(OR(AG15="",AG15=0),"",IF(((M15/AG15)&gt;=F15),AK15,IF(OR(AM15=1,(AK15-(F15-M15/AG15)*League!$AA$5)&gt;=AK15),AK15,IF(OR(AM15=0,(AK15-(F15-M15/AG15)*League!$AA$5)&lt;=0),0,(AK15-(F15-M15/AG15)*League!$AA$5)))))</f>
        <v>16.007036946723112</v>
      </c>
      <c r="AO15" s="38">
        <f>IF(OR(AG15="",AG15=0),"",IF((W15/AG15)&gt;=F15,AL15,(M15/AG15-AN15)))</f>
        <v>6.9289339504805305</v>
      </c>
      <c r="AP15" s="20">
        <f>IF(OR(AN15="",(AN15+AO15)=0),"",(AN15/(AN15+AO15)))</f>
        <v>0.69790099658151783</v>
      </c>
      <c r="AQ15" s="22">
        <f>IF(AN15="","",((C15-AN15)+(AO15-D15)))</f>
        <v>-1.0781029962425812</v>
      </c>
    </row>
    <row r="16" spans="1:47" x14ac:dyDescent="0.3">
      <c r="A16" s="15" t="s">
        <v>38</v>
      </c>
      <c r="B16" s="16" t="s">
        <v>39</v>
      </c>
      <c r="C16" s="16">
        <v>10</v>
      </c>
      <c r="D16" s="16">
        <v>8</v>
      </c>
      <c r="E16" s="17">
        <f>IF(OR(M16="",M16=0),"",(R16/M16*9))</f>
        <v>3.3267857142857151</v>
      </c>
      <c r="F16" s="16">
        <v>27</v>
      </c>
      <c r="G16" s="16">
        <v>27</v>
      </c>
      <c r="H16" s="16">
        <v>4</v>
      </c>
      <c r="I16" s="16">
        <v>0</v>
      </c>
      <c r="J16" s="16">
        <v>0</v>
      </c>
      <c r="K16" s="16">
        <v>0</v>
      </c>
      <c r="L16" s="16">
        <v>0</v>
      </c>
      <c r="M16" s="18">
        <f>IF(N16="","",(INT(N16)+(N16-INT(N16))*10/3))</f>
        <v>186.66666666666663</v>
      </c>
      <c r="N16" s="16">
        <v>186.2</v>
      </c>
      <c r="O16" s="16">
        <v>740</v>
      </c>
      <c r="P16" s="16">
        <v>178</v>
      </c>
      <c r="Q16" s="16">
        <v>78</v>
      </c>
      <c r="R16" s="16">
        <v>69</v>
      </c>
      <c r="S16" s="16">
        <v>16</v>
      </c>
      <c r="T16" s="16">
        <v>27</v>
      </c>
      <c r="U16" s="16">
        <v>0</v>
      </c>
      <c r="V16" s="16">
        <v>3</v>
      </c>
      <c r="W16" s="16">
        <v>6</v>
      </c>
      <c r="X16" s="16">
        <v>0</v>
      </c>
      <c r="Y16" s="16">
        <v>151</v>
      </c>
      <c r="Z16" s="17">
        <f>IF(OR(M16="",M16=0),"",((13*S16+3*(T16+V16)-2*Y16)/M16+League!$Y$2))</f>
        <v>3.02642573522995</v>
      </c>
      <c r="AA16" s="16">
        <f>VLOOKUP(B16,BPF!$A$2:$B$31,2,FALSE)</f>
        <v>95</v>
      </c>
      <c r="AB16" s="19">
        <f>IF(OR(E16="",E16=0),"",(E16/(League!$E$3*AA16/100)*100))</f>
        <v>87.69680013988463</v>
      </c>
      <c r="AC16" s="19">
        <f>IF(OR(Z16="",Z16=0),"",(Z16/(League!$Y$3*AA16/100)*100))</f>
        <v>80.330272924073071</v>
      </c>
      <c r="AD16" s="20">
        <f>IF(OR((C16+D16)="",(C16+D16)=0),"",(C16/(C16+D16)))</f>
        <v>0.55555555555555558</v>
      </c>
      <c r="AE16" s="17">
        <f>IF(OR(F16="",F16=0),"",(M16/F16))</f>
        <v>6.913580246913579</v>
      </c>
      <c r="AF16" s="34">
        <f>IF(OR(M16="",M16=0,AA16="",AA16=0),"",(Q16/M16*9)/(AA16/100))</f>
        <v>3.9586466165413539</v>
      </c>
      <c r="AG16" s="34">
        <f>(1.19*AE16-0.056*AF16+1.71)*League!$AC$4</f>
        <v>9.8225345490784211</v>
      </c>
      <c r="AH16" s="17">
        <f>IF(OR(League!$M$3="",League!$M$3=0),"",(League!$P$3/League!$M$3*9))</f>
        <v>4.3072548839768867</v>
      </c>
      <c r="AI16" s="17">
        <f>IF(OR(F16="",F16=0,League!$G$3="",League!$G$3=0,League!$M$5="",League!$M$5=0,AA16="",AA16=0),"",((Q16/F16/(AA16/100)+(League!$M$3/League!$G$3-M16/F16)*(League!$P$5/League!$M$5))/(League!$M$3/League!$G$3)*9))</f>
        <v>3.9668798116770962</v>
      </c>
      <c r="AJ16" s="17">
        <f>IF(AH16="","",((AH16+AI16)^0.287))</f>
        <v>1.833945317976353</v>
      </c>
      <c r="AK16" s="21">
        <f>IF(AM16="","",(AM16*F16))</f>
        <v>14.517130497780224</v>
      </c>
      <c r="AL16" s="21">
        <f>IF(AK16="","",(F16-AK16))</f>
        <v>12.482869502219776</v>
      </c>
      <c r="AM16" s="20">
        <f>IF(AJ16="","",(AH16^AJ16/(AH16^AJ16+AI16^AJ16)))</f>
        <v>0.53767149991778607</v>
      </c>
      <c r="AN16" s="38">
        <f>IF(OR(AG16="",AG16=0),"",IF(((M16/AG16)&gt;=F16),AK16,IF(OR(AM16=1,(AK16-(F16-M16/AG16)*League!$AA$5)&gt;=AK16),AK16,IF(OR(AM16=0,(AK16-(F16-M16/AG16)*League!$AA$5)&lt;=0),0,(AK16-(F16-M16/AG16)*League!$AA$5)))))</f>
        <v>10.492753250617039</v>
      </c>
      <c r="AO16" s="38">
        <f>IF(OR(AG16="",AG16=0),"",IF((W16/AG16)&gt;=F16,AL16,(M16/AG16-AN16)))</f>
        <v>8.51116734991475</v>
      </c>
      <c r="AP16" s="20">
        <f>IF(OR(AN16="",(AN16+AO16)=0),"",(AN16/(AN16+AO16)))</f>
        <v>0.5521362392096828</v>
      </c>
      <c r="AQ16" s="22">
        <f>IF(AN16="","",((C16-AN16)+(AO16-D16)))</f>
        <v>1.8414099297711317E-2</v>
      </c>
    </row>
    <row r="17" spans="1:43" x14ac:dyDescent="0.3">
      <c r="A17" s="15" t="s">
        <v>54</v>
      </c>
      <c r="B17" s="16" t="s">
        <v>55</v>
      </c>
      <c r="C17" s="16">
        <v>10</v>
      </c>
      <c r="D17" s="16">
        <v>10</v>
      </c>
      <c r="E17" s="17">
        <f>IF(OR(M17="",M17=0),"",(R17/M17*9))</f>
        <v>4.1379310344827589</v>
      </c>
      <c r="F17" s="16">
        <v>30</v>
      </c>
      <c r="G17" s="16">
        <v>30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8">
        <f>IF(N17="","",(INT(N17)+(N17-INT(N17))*10/3))</f>
        <v>174</v>
      </c>
      <c r="N17" s="16">
        <v>174</v>
      </c>
      <c r="O17" s="16">
        <v>757</v>
      </c>
      <c r="P17" s="16">
        <v>192</v>
      </c>
      <c r="Q17" s="16">
        <v>87</v>
      </c>
      <c r="R17" s="16">
        <v>80</v>
      </c>
      <c r="S17" s="16">
        <v>17</v>
      </c>
      <c r="T17" s="16">
        <v>63</v>
      </c>
      <c r="U17" s="16">
        <v>0</v>
      </c>
      <c r="V17" s="16">
        <v>5</v>
      </c>
      <c r="W17" s="16">
        <v>4</v>
      </c>
      <c r="X17" s="16">
        <v>0</v>
      </c>
      <c r="Y17" s="16">
        <v>143</v>
      </c>
      <c r="Z17" s="17">
        <f>IF(OR(M17="",M17=0),"",((13*S17+3*(T17+V17)-2*Y17)/M17+League!$Y$2))</f>
        <v>3.8467048813711648</v>
      </c>
      <c r="AA17" s="23">
        <f>126/M17*BPF!B22+48/M17*BPF!B3</f>
        <v>100.10344827586206</v>
      </c>
      <c r="AB17" s="19">
        <f>IF(OR(E17="",E17=0),"",(E17/(League!$E$3*AA17/100)*100))</f>
        <v>103.5182054977135</v>
      </c>
      <c r="AC17" s="19">
        <f>IF(OR(Z17="",Z17=0),"",(Z17/(League!$Y$3*AA17/100)*100))</f>
        <v>96.897518942509635</v>
      </c>
      <c r="AD17" s="20">
        <f>IF(OR((C17+D17)="",(C17+D17)=0),"",(C17/(C17+D17)))</f>
        <v>0.5</v>
      </c>
      <c r="AE17" s="17">
        <f>IF(OR(F17="",F17=0),"",(M17/F17))</f>
        <v>5.8</v>
      </c>
      <c r="AF17" s="34">
        <f>IF(OR(M17="",M17=0,AA17="",AA17=0),"",(Q17/M17*9)/(AA17/100))</f>
        <v>4.4953496383052016</v>
      </c>
      <c r="AG17" s="34">
        <f>(1.19*AE17-0.056*AF17+1.71)*League!$AC$4</f>
        <v>8.4523850836211114</v>
      </c>
      <c r="AH17" s="17">
        <f>IF(OR(League!$M$3="",League!$M$3=0),"",(League!$P$3/League!$M$3*9))</f>
        <v>4.3072548839768867</v>
      </c>
      <c r="AI17" s="17">
        <f>IF(OR(F17="",F17=0,League!$G$3="",League!$G$3=0,League!$M$5="",League!$M$5=0,AA17="",AA17=0),"",((Q17/F17/(AA17/100)+(League!$M$3/League!$G$3-M17/F17)*(League!$P$5/League!$M$5))/(League!$M$3/League!$G$3)*9))</f>
        <v>4.3185221976407844</v>
      </c>
      <c r="AJ17" s="17">
        <f>IF(AH17="","",((AH17+AI17)^0.287))</f>
        <v>1.8559834194997296</v>
      </c>
      <c r="AK17" s="21">
        <f>IF(AM17="","",(AM17*F17))</f>
        <v>14.963634722874698</v>
      </c>
      <c r="AL17" s="21">
        <f>IF(AK17="","",(F17-AK17))</f>
        <v>15.036365277125302</v>
      </c>
      <c r="AM17" s="20">
        <f>IF(AJ17="","",(AH17^AJ17/(AH17^AJ17+AI17^AJ17)))</f>
        <v>0.49878782409582328</v>
      </c>
      <c r="AN17" s="38">
        <f>IF(OR(AG17="",AG17=0),"",IF(((M17/AG17)&gt;=F17),AK17,IF(OR(AM17=1,(AK17-(F17-M17/AG17)*League!$AA$5)&gt;=AK17),AK17,IF(OR(AM17=0,(AK17-(F17-M17/AG17)*League!$AA$5)&lt;=0),0,(AK17-(F17-M17/AG17)*League!$AA$5)))))</f>
        <v>10.225579221874115</v>
      </c>
      <c r="AO17" s="38">
        <f>IF(OR(AG17="",AG17=0),"",IF((W17/AG17)&gt;=F17,AL17,(M17/AG17-AN17)))</f>
        <v>10.36032620938389</v>
      </c>
      <c r="AP17" s="20">
        <f>IF(OR(AN17="",(AN17+AO17)=0),"",(AN17/(AN17+AO17)))</f>
        <v>0.49672720279514221</v>
      </c>
      <c r="AQ17" s="22">
        <f>IF(AN17="","",((C17-AN17)+(AO17-D17)))</f>
        <v>0.1347469875097751</v>
      </c>
    </row>
    <row r="18" spans="1:43" x14ac:dyDescent="0.3">
      <c r="A18" s="15" t="s">
        <v>70</v>
      </c>
      <c r="B18" s="16" t="s">
        <v>24</v>
      </c>
      <c r="C18" s="16">
        <v>11</v>
      </c>
      <c r="D18" s="16">
        <v>16</v>
      </c>
      <c r="E18" s="17">
        <f>IF(OR(M18="",M18=0),"",(R18/M18*9))</f>
        <v>5.2622950819672134</v>
      </c>
      <c r="F18" s="16">
        <v>32</v>
      </c>
      <c r="G18" s="16">
        <v>32</v>
      </c>
      <c r="H18" s="16">
        <v>2</v>
      </c>
      <c r="I18" s="16">
        <v>0</v>
      </c>
      <c r="J18" s="16">
        <v>0</v>
      </c>
      <c r="K18" s="16">
        <v>0</v>
      </c>
      <c r="L18" s="16">
        <v>0</v>
      </c>
      <c r="M18" s="18">
        <f>IF(N18="","",(INT(N18)+(N18-INT(N18))*10/3))</f>
        <v>183</v>
      </c>
      <c r="N18" s="16">
        <v>183</v>
      </c>
      <c r="O18" s="16">
        <v>820</v>
      </c>
      <c r="P18" s="16">
        <v>232</v>
      </c>
      <c r="Q18" s="16">
        <v>117</v>
      </c>
      <c r="R18" s="16">
        <v>107</v>
      </c>
      <c r="S18" s="16">
        <v>25</v>
      </c>
      <c r="T18" s="16">
        <v>61</v>
      </c>
      <c r="U18" s="16">
        <v>5</v>
      </c>
      <c r="V18" s="16">
        <v>4</v>
      </c>
      <c r="W18" s="16">
        <v>5</v>
      </c>
      <c r="X18" s="16">
        <v>0</v>
      </c>
      <c r="Y18" s="16">
        <v>107</v>
      </c>
      <c r="Z18" s="17">
        <f>IF(OR(M18="",M18=0),"",((13*S18+3*(T18+V18)-2*Y18)/M18+League!$Y$2))</f>
        <v>4.719985454199505</v>
      </c>
      <c r="AA18" s="16">
        <f>VLOOKUP(B18,BPF!$A$2:$B$31,2,FALSE)</f>
        <v>100</v>
      </c>
      <c r="AB18" s="19">
        <f>IF(OR(E18="",E18=0),"",(E18/(League!$E$3*AA18/100)*100))</f>
        <v>131.78249389305435</v>
      </c>
      <c r="AC18" s="19">
        <f>IF(OR(Z18="",Z18=0),"",(Z18/(League!$Y$3*AA18/100)*100))</f>
        <v>119.01822983918618</v>
      </c>
      <c r="AD18" s="20">
        <f>IF(OR((C18+D18)="",(C18+D18)=0),"",(C18/(C18+D18)))</f>
        <v>0.40740740740740738</v>
      </c>
      <c r="AE18" s="17">
        <f>IF(OR(F18="",F18=0),"",(M18/F18))</f>
        <v>5.71875</v>
      </c>
      <c r="AF18" s="34">
        <f>IF(OR(M18="",M18=0,AA18="",AA18=0),"",(Q18/M18*9)/(AA18/100))</f>
        <v>5.7540983606557381</v>
      </c>
      <c r="AG18" s="34">
        <f>(1.19*AE18-0.056*AF18+1.71)*League!$AC$4</f>
        <v>8.2833654680192819</v>
      </c>
      <c r="AH18" s="17">
        <f>IF(OR(League!$M$3="",League!$M$3=0),"",(League!$P$3/League!$M$3*9))</f>
        <v>4.3072548839768867</v>
      </c>
      <c r="AI18" s="17">
        <f>IF(OR(F18="",F18=0,League!$G$3="",League!$G$3=0,League!$M$5="",League!$M$5=0,AA18="",AA18=0),"",((Q18/F18/(AA18/100)+(League!$M$3/League!$G$3-M18/F18)*(League!$P$5/League!$M$5))/(League!$M$3/League!$G$3)*9))</f>
        <v>5.1168222519375197</v>
      </c>
      <c r="AJ18" s="17">
        <f>IF(AH18="","",((AH18+AI18)^0.287))</f>
        <v>1.9037352208568925</v>
      </c>
      <c r="AK18" s="21">
        <f>IF(AM18="","",(AM18*F18))</f>
        <v>13.400165190725785</v>
      </c>
      <c r="AL18" s="21">
        <f>IF(AK18="","",(F18-AK18))</f>
        <v>18.599834809274213</v>
      </c>
      <c r="AM18" s="20">
        <f>IF(AJ18="","",(AH18^AJ18/(AH18^AJ18+AI18^AJ18)))</f>
        <v>0.41875516221018078</v>
      </c>
      <c r="AN18" s="38">
        <f>IF(OR(AG18="",AG18=0),"",IF(((M18/AG18)&gt;=F18),AK18,IF(OR(AM18=1,(AK18-(F18-M18/AG18)*League!$AA$5)&gt;=AK18),AK18,IF(OR(AM18=0,(AK18-(F18-M18/AG18)*League!$AA$5)&lt;=0),0,(AK18-(F18-M18/AG18)*League!$AA$5)))))</f>
        <v>8.4137665042713028</v>
      </c>
      <c r="AO18" s="38">
        <f>IF(OR(AG18="",AG18=0),"",IF((W18/AG18)&gt;=F18,AL18,(M18/AG18-AN18)))</f>
        <v>13.678703121333536</v>
      </c>
      <c r="AP18" s="20">
        <f>IF(OR(AN18="",(AN18+AO18)=0),"",(AN18/(AN18+AO18)))</f>
        <v>0.38084318534130174</v>
      </c>
      <c r="AQ18" s="22">
        <f>IF(AN18="","",((C18-AN18)+(AO18-D18)))</f>
        <v>0.26493661706223293</v>
      </c>
    </row>
    <row r="19" spans="1:43" x14ac:dyDescent="0.3">
      <c r="A19" s="15" t="s">
        <v>49</v>
      </c>
      <c r="B19" s="16" t="s">
        <v>47</v>
      </c>
      <c r="C19" s="16">
        <v>14</v>
      </c>
      <c r="D19" s="16">
        <v>10</v>
      </c>
      <c r="E19" s="17">
        <f>IF(OR(M19="",M19=0),"",(R19/M19*9))</f>
        <v>3.517605633802817</v>
      </c>
      <c r="F19" s="16">
        <v>29</v>
      </c>
      <c r="G19" s="16">
        <v>29</v>
      </c>
      <c r="H19" s="16">
        <v>3</v>
      </c>
      <c r="I19" s="16">
        <v>3</v>
      </c>
      <c r="J19" s="16">
        <v>0</v>
      </c>
      <c r="K19" s="16">
        <v>0</v>
      </c>
      <c r="L19" s="16">
        <v>0</v>
      </c>
      <c r="M19" s="18">
        <f>IF(N19="","",(INT(N19)+(N19-INT(N19))*10/3))</f>
        <v>189.33333333333331</v>
      </c>
      <c r="N19" s="16">
        <v>189.1</v>
      </c>
      <c r="O19" s="16">
        <v>789</v>
      </c>
      <c r="P19" s="16">
        <v>155</v>
      </c>
      <c r="Q19" s="16">
        <v>75</v>
      </c>
      <c r="R19" s="16">
        <v>74</v>
      </c>
      <c r="S19" s="16">
        <v>13</v>
      </c>
      <c r="T19" s="16">
        <v>75</v>
      </c>
      <c r="U19" s="16">
        <v>0</v>
      </c>
      <c r="V19" s="16">
        <v>16</v>
      </c>
      <c r="W19" s="16">
        <v>8</v>
      </c>
      <c r="X19" s="16">
        <v>0</v>
      </c>
      <c r="Y19" s="16">
        <v>188</v>
      </c>
      <c r="Z19" s="17">
        <f>IF(OR(M19="",M19=0),"",((13*S19+3*(T19+V19)-2*Y19)/M19+League!$Y$2))</f>
        <v>3.3964458559542958</v>
      </c>
      <c r="AA19" s="16">
        <f>VLOOKUP(B19,BPF!$A$2:$B$31,2,FALSE)</f>
        <v>96</v>
      </c>
      <c r="AB19" s="19">
        <f>IF(OR(E19="",E19=0),"",(E19/(League!$E$3*AA19/100)*100))</f>
        <v>91.761063798813552</v>
      </c>
      <c r="AC19" s="19">
        <f>IF(OR(Z19="",Z19=0),"",(Z19/(League!$Y$3*AA19/100)*100))</f>
        <v>89.212619015386494</v>
      </c>
      <c r="AD19" s="20">
        <f>IF(OR((C19+D19)="",(C19+D19)=0),"",(C19/(C19+D19)))</f>
        <v>0.58333333333333337</v>
      </c>
      <c r="AE19" s="17">
        <f>IF(OR(F19="",F19=0),"",(M19/F19))</f>
        <v>6.5287356321839072</v>
      </c>
      <c r="AF19" s="34">
        <f>IF(OR(M19="",M19=0,AA19="",AA19=0),"",(Q19/M19*9)/(AA19/100))</f>
        <v>3.7136883802816909</v>
      </c>
      <c r="AG19" s="34">
        <f>(1.19*AE19-0.056*AF19+1.71)*League!$AC$4</f>
        <v>9.3733917993874538</v>
      </c>
      <c r="AH19" s="17">
        <f>IF(OR(League!$M$3="",League!$M$3=0),"",(League!$P$3/League!$M$3*9))</f>
        <v>4.3072548839768867</v>
      </c>
      <c r="AI19" s="17">
        <f>IF(OR(F19="",F19=0,League!$G$3="",League!$G$3=0,League!$M$5="",League!$M$5=0,AA19="",AA19=0),"",((Q19/F19/(AA19/100)+(League!$M$3/League!$G$3-M19/F19)*(League!$P$5/League!$M$5))/(League!$M$3/League!$G$3)*9))</f>
        <v>3.7900587752945296</v>
      </c>
      <c r="AJ19" s="17">
        <f>IF(AH19="","",((AH19+AI19)^0.287))</f>
        <v>1.8226104510822383</v>
      </c>
      <c r="AK19" s="21">
        <f>IF(AM19="","",(AM19*F19))</f>
        <v>16.182700171878366</v>
      </c>
      <c r="AL19" s="21">
        <f>IF(AK19="","",(F19-AK19))</f>
        <v>12.817299828121634</v>
      </c>
      <c r="AM19" s="20">
        <f>IF(AJ19="","",(AH19^AJ19/(AH19^AJ19+AI19^AJ19)))</f>
        <v>0.55802414385787469</v>
      </c>
      <c r="AN19" s="38">
        <f>IF(OR(AG19="",AG19=0),"",IF(((M19/AG19)&gt;=F19),AK19,IF(OR(AM19=1,(AK19-(F19-M19/AG19)*League!$AA$5)&gt;=AK19),AK19,IF(OR(AM19=0,(AK19-(F19-M19/AG19)*League!$AA$5)&lt;=0),0,(AK19-(F19-M19/AG19)*League!$AA$5)))))</f>
        <v>11.753221700319758</v>
      </c>
      <c r="AO19" s="38">
        <f>IF(OR(AG19="",AG19=0),"",IF((W19/AG19)&gt;=F19,AL19,(M19/AG19-AN19)))</f>
        <v>8.4457988234682428</v>
      </c>
      <c r="AP19" s="20">
        <f>IF(OR(AN19="",(AN19+AO19)=0),"",(AN19/(AN19+AO19)))</f>
        <v>0.58187087272267546</v>
      </c>
      <c r="AQ19" s="22">
        <f>IF(AN19="","",((C19-AN19)+(AO19-D19)))</f>
        <v>0.69257712314848519</v>
      </c>
    </row>
    <row r="20" spans="1:43" x14ac:dyDescent="0.3">
      <c r="A20" s="15" t="s">
        <v>69</v>
      </c>
      <c r="B20" s="16" t="s">
        <v>43</v>
      </c>
      <c r="C20" s="16">
        <v>8</v>
      </c>
      <c r="D20" s="16">
        <v>9</v>
      </c>
      <c r="E20" s="17">
        <f>IF(OR(M20="",M20=0),"",(R20/M20*9))</f>
        <v>4.642292490118578</v>
      </c>
      <c r="F20" s="16">
        <v>29</v>
      </c>
      <c r="G20" s="16">
        <v>29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8">
        <f>IF(N20="","",(INT(N20)+(N20-INT(N20))*10/3))</f>
        <v>168.66666666666663</v>
      </c>
      <c r="N20" s="16">
        <v>168.2</v>
      </c>
      <c r="O20" s="16">
        <v>743</v>
      </c>
      <c r="P20" s="16">
        <v>167</v>
      </c>
      <c r="Q20" s="16">
        <v>97</v>
      </c>
      <c r="R20" s="16">
        <v>87</v>
      </c>
      <c r="S20" s="16">
        <v>26</v>
      </c>
      <c r="T20" s="16">
        <v>78</v>
      </c>
      <c r="U20" s="16">
        <v>1</v>
      </c>
      <c r="V20" s="16">
        <v>6</v>
      </c>
      <c r="W20" s="16">
        <v>9</v>
      </c>
      <c r="X20" s="16">
        <v>1</v>
      </c>
      <c r="Y20" s="16">
        <v>156</v>
      </c>
      <c r="Z20" s="17">
        <f>IF(OR(M20="",M20=0),"",((13*S20+3*(T20+V20)-2*Y20)/M20+League!$Y$2))</f>
        <v>4.6960756505320393</v>
      </c>
      <c r="AA20" s="16">
        <f>VLOOKUP(B20,BPF!$A$2:$B$31,2,FALSE)</f>
        <v>104</v>
      </c>
      <c r="AB20" s="19">
        <f>IF(OR(E20="",E20=0),"",(E20/(League!$E$3*AA20/100)*100))</f>
        <v>111.7845248785593</v>
      </c>
      <c r="AC20" s="19">
        <f>IF(OR(Z20="",Z20=0),"",(Z20/(League!$Y$3*AA20/100)*100))</f>
        <v>113.86088933403673</v>
      </c>
      <c r="AD20" s="20">
        <f>IF(OR((C20+D20)="",(C20+D20)=0),"",(C20/(C20+D20)))</f>
        <v>0.47058823529411764</v>
      </c>
      <c r="AE20" s="17">
        <f>IF(OR(F20="",F20=0),"",(M20/F20))</f>
        <v>5.816091954022987</v>
      </c>
      <c r="AF20" s="34">
        <f>IF(OR(M20="",M20=0,AA20="",AA20=0),"",(Q20/M20*9)/(AA20/100))</f>
        <v>4.9768166615992708</v>
      </c>
      <c r="AG20" s="34">
        <f>(1.19*AE20-0.056*AF20+1.71)*League!$AC$4</f>
        <v>8.4444862643936354</v>
      </c>
      <c r="AH20" s="17">
        <f>IF(OR(League!$M$3="",League!$M$3=0),"",(League!$P$3/League!$M$3*9))</f>
        <v>4.3072548839768867</v>
      </c>
      <c r="AI20" s="17">
        <f>IF(OR(F20="",F20=0,League!$G$3="",League!$G$3=0,League!$M$5="",League!$M$5=0,AA20="",AA20=0),"",((Q20/F20/(AA20/100)+(League!$M$3/League!$G$3-M20/F20)*(League!$P$5/League!$M$5))/(League!$M$3/League!$G$3)*9))</f>
        <v>4.631730513747204</v>
      </c>
      <c r="AJ20" s="17">
        <f>IF(AH20="","",((AH20+AI20)^0.287))</f>
        <v>1.8750796538324137</v>
      </c>
      <c r="AK20" s="21">
        <f>IF(AM20="","",(AM20*F20))</f>
        <v>13.514170233759328</v>
      </c>
      <c r="AL20" s="21">
        <f>IF(AK20="","",(F20-AK20))</f>
        <v>15.485829766240672</v>
      </c>
      <c r="AM20" s="20">
        <f>IF(AJ20="","",(AH20^AJ20/(AH20^AJ20+AI20^AJ20)))</f>
        <v>0.46600587012963202</v>
      </c>
      <c r="AN20" s="38">
        <f>IF(OR(AG20="",AG20=0),"",IF(((M20/AG20)&gt;=F20),AK20,IF(OR(AM20=1,(AK20-(F20-M20/AG20)*League!$AA$5)&gt;=AK20),AK20,IF(OR(AM20=0,(AK20-(F20-M20/AG20)*League!$AA$5)&lt;=0),0,(AK20-(F20-M20/AG20)*League!$AA$5)))))</f>
        <v>8.9712316070711715</v>
      </c>
      <c r="AO20" s="38">
        <f>IF(OR(AG20="",AG20=0),"",IF((W20/AG20)&gt;=F20,AL20,(M20/AG20-AN20)))</f>
        <v>11.002353687022254</v>
      </c>
      <c r="AP20" s="20">
        <f>IF(OR(AN20="",(AN20+AO20)=0),"",(AN20/(AN20+AO20)))</f>
        <v>0.44915479494430766</v>
      </c>
      <c r="AQ20" s="22">
        <f>IF(AN20="","",((C20-AN20)+(AO20-D20)))</f>
        <v>1.0311220799510821</v>
      </c>
    </row>
    <row r="21" spans="1:43" x14ac:dyDescent="0.3">
      <c r="A21" s="15" t="s">
        <v>65</v>
      </c>
      <c r="B21" s="16" t="s">
        <v>64</v>
      </c>
      <c r="C21" s="16">
        <v>14</v>
      </c>
      <c r="D21" s="16">
        <v>13</v>
      </c>
      <c r="E21" s="17">
        <f>IF(OR(M21="",M21=0),"",(R21/M21*9))</f>
        <v>4.2062314540059358</v>
      </c>
      <c r="F21" s="16">
        <v>34</v>
      </c>
      <c r="G21" s="16">
        <v>34</v>
      </c>
      <c r="H21" s="16">
        <v>3</v>
      </c>
      <c r="I21" s="16">
        <v>1</v>
      </c>
      <c r="J21" s="16">
        <v>0</v>
      </c>
      <c r="K21" s="16">
        <v>0</v>
      </c>
      <c r="L21" s="16">
        <v>0</v>
      </c>
      <c r="M21" s="18">
        <f>IF(N21="","",(INT(N21)+(N21-INT(N21))*10/3))</f>
        <v>224.66666666666663</v>
      </c>
      <c r="N21" s="16">
        <v>224.2</v>
      </c>
      <c r="O21" s="16">
        <v>943</v>
      </c>
      <c r="P21" s="16">
        <v>207</v>
      </c>
      <c r="Q21" s="16">
        <v>113</v>
      </c>
      <c r="R21" s="16">
        <v>105</v>
      </c>
      <c r="S21" s="16">
        <v>35</v>
      </c>
      <c r="T21" s="16">
        <v>71</v>
      </c>
      <c r="U21" s="16">
        <v>0</v>
      </c>
      <c r="V21" s="16">
        <v>10</v>
      </c>
      <c r="W21" s="16">
        <v>7</v>
      </c>
      <c r="X21" s="16">
        <v>1</v>
      </c>
      <c r="Y21" s="16">
        <v>177</v>
      </c>
      <c r="Z21" s="17">
        <f>IF(OR(M21="",M21=0),"",((13*S21+3*(T21+V21)-2*Y21)/M21+League!$Y$2))</f>
        <v>4.5790115766881954</v>
      </c>
      <c r="AA21" s="16">
        <f>VLOOKUP(B21,BPF!$A$2:$B$31,2,FALSE)</f>
        <v>102</v>
      </c>
      <c r="AB21" s="19">
        <f>IF(OR(E21="",E21=0),"",(E21/(League!$E$3*AA21/100)*100))</f>
        <v>103.27031923803962</v>
      </c>
      <c r="AC21" s="19">
        <f>IF(OR(Z21="",Z21=0),"",(Z21/(League!$Y$3*AA21/100)*100))</f>
        <v>113.19947070850476</v>
      </c>
      <c r="AD21" s="20">
        <f>IF(OR((C21+D21)="",(C21+D21)=0),"",(C21/(C21+D21)))</f>
        <v>0.51851851851851849</v>
      </c>
      <c r="AE21" s="17">
        <f>IF(OR(F21="",F21=0),"",(M21/F21))</f>
        <v>6.6078431372549007</v>
      </c>
      <c r="AF21" s="34">
        <f>IF(OR(M21="",M21=0,AA21="",AA21=0),"",(Q21/M21*9)/(AA21/100))</f>
        <v>4.4379472857392228</v>
      </c>
      <c r="AG21" s="34">
        <f>(1.19*AE21-0.056*AF21+1.71)*League!$AC$4</f>
        <v>9.427561642411499</v>
      </c>
      <c r="AH21" s="17">
        <f>IF(OR(League!$M$3="",League!$M$3=0),"",(League!$P$3/League!$M$3*9))</f>
        <v>4.3072548839768867</v>
      </c>
      <c r="AI21" s="17">
        <f>IF(OR(F21="",F21=0,League!$G$3="",League!$G$3=0,League!$M$5="",League!$M$5=0,AA21="",AA21=0),"",((Q21/F21/(AA21/100)+(League!$M$3/League!$G$3-M21/F21)*(League!$P$5/League!$M$5))/(League!$M$3/League!$G$3)*9))</f>
        <v>4.3213342573525608</v>
      </c>
      <c r="AJ21" s="17">
        <f>IF(AH21="","",((AH21+AI21)^0.287))</f>
        <v>1.8561570523238256</v>
      </c>
      <c r="AK21" s="21">
        <f>IF(AM21="","",(AM21*F21))</f>
        <v>16.948511974821436</v>
      </c>
      <c r="AL21" s="21">
        <f>IF(AK21="","",(F21-AK21))</f>
        <v>17.051488025178564</v>
      </c>
      <c r="AM21" s="20">
        <f>IF(AJ21="","",(AH21^AJ21/(AH21^AJ21+AI21^AJ21)))</f>
        <v>0.49848564631827752</v>
      </c>
      <c r="AN21" s="38">
        <f>IF(OR(AG21="",AG21=0),"",IF(((M21/AG21)&gt;=F21),AK21,IF(OR(AM21=1,(AK21-(F21-M21/AG21)*League!$AA$5)&gt;=AK21),AK21,IF(OR(AM21=0,(AK21-(F21-M21/AG21)*League!$AA$5)&lt;=0),0,(AK21-(F21-M21/AG21)*League!$AA$5)))))</f>
        <v>11.830434239554108</v>
      </c>
      <c r="AO21" s="38">
        <f>IF(OR(AG21="",AG21=0),"",IF((W21/AG21)&gt;=F21,AL21,(M21/AG21-AN21)))</f>
        <v>12.000400836184372</v>
      </c>
      <c r="AP21" s="20">
        <f>IF(OR(AN21="",(AN21+AO21)=0),"",(AN21/(AN21+AO21)))</f>
        <v>0.49643389339714533</v>
      </c>
      <c r="AQ21" s="22">
        <f>IF(AN21="","",((C21-AN21)+(AO21-D21)))</f>
        <v>1.1699665966302639</v>
      </c>
    </row>
    <row r="22" spans="1:43" x14ac:dyDescent="0.3">
      <c r="A22" s="15" t="s">
        <v>60</v>
      </c>
      <c r="B22" s="16" t="s">
        <v>47</v>
      </c>
      <c r="C22" s="16">
        <v>13</v>
      </c>
      <c r="D22" s="16">
        <v>9</v>
      </c>
      <c r="E22" s="17">
        <f>IF(OR(M22="",M22=0),"",(R22/M22*9))</f>
        <v>3.3010948905109494</v>
      </c>
      <c r="F22" s="16">
        <v>32</v>
      </c>
      <c r="G22" s="16">
        <v>32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8">
        <f>IF(N22="","",(INT(N22)+(N22-INT(N22))*10/3))</f>
        <v>182.66666666666663</v>
      </c>
      <c r="N22" s="16">
        <v>182.2</v>
      </c>
      <c r="O22" s="16">
        <v>777</v>
      </c>
      <c r="P22" s="16">
        <v>163</v>
      </c>
      <c r="Q22" s="16">
        <v>75</v>
      </c>
      <c r="R22" s="16">
        <v>67</v>
      </c>
      <c r="S22" s="16">
        <v>16</v>
      </c>
      <c r="T22" s="16">
        <v>80</v>
      </c>
      <c r="U22" s="16">
        <v>0</v>
      </c>
      <c r="V22" s="16">
        <v>3</v>
      </c>
      <c r="W22" s="16">
        <v>8</v>
      </c>
      <c r="X22" s="16">
        <v>0</v>
      </c>
      <c r="Y22" s="16">
        <v>194</v>
      </c>
      <c r="Z22" s="17">
        <f>IF(OR(M22="",M22=0),"",((13*S22+3*(T22+V22)-2*Y22)/M22+League!$Y$2))</f>
        <v>3.4255915329358935</v>
      </c>
      <c r="AA22" s="16">
        <f>VLOOKUP(B22,BPF!$A$2:$B$31,2,FALSE)</f>
        <v>96</v>
      </c>
      <c r="AB22" s="19">
        <f>IF(OR(E22="",E22=0),"",(E22/(League!$E$3*AA22/100)*100))</f>
        <v>86.113115109677679</v>
      </c>
      <c r="AC22" s="19">
        <f>IF(OR(Z22="",Z22=0),"",(Z22/(League!$Y$3*AA22/100)*100))</f>
        <v>89.978172858073677</v>
      </c>
      <c r="AD22" s="20">
        <f>IF(OR((C22+D22)="",(C22+D22)=0),"",(C22/(C22+D22)))</f>
        <v>0.59090909090909094</v>
      </c>
      <c r="AE22" s="17">
        <f>IF(OR(F22="",F22=0),"",(M22/F22))</f>
        <v>5.7083333333333321</v>
      </c>
      <c r="AF22" s="34">
        <f>IF(OR(M22="",M22=0,AA22="",AA22=0),"",(Q22/M22*9)/(AA22/100))</f>
        <v>3.8492244525547452</v>
      </c>
      <c r="AG22" s="34">
        <f>(1.19*AE22-0.056*AF22+1.71)*League!$AC$4</f>
        <v>8.378681446274733</v>
      </c>
      <c r="AH22" s="17">
        <f>IF(OR(League!$M$3="",League!$M$3=0),"",(League!$P$3/League!$M$3*9))</f>
        <v>4.3072548839768867</v>
      </c>
      <c r="AI22" s="17">
        <f>IF(OR(F22="",F22=0,League!$G$3="",League!$G$3=0,League!$M$5="",League!$M$5=0,AA22="",AA22=0),"",((Q22/F22/(AA22/100)+(League!$M$3/League!$G$3-M22/F22)*(League!$P$5/League!$M$5))/(League!$M$3/League!$G$3)*9))</f>
        <v>3.9020509401253891</v>
      </c>
      <c r="AJ22" s="17">
        <f>IF(AH22="","",((AH22+AI22)^0.287))</f>
        <v>1.8298097897891374</v>
      </c>
      <c r="AK22" s="21">
        <f>IF(AM22="","",(AM22*F22))</f>
        <v>17.442333408299799</v>
      </c>
      <c r="AL22" s="21">
        <f>IF(AK22="","",(F22-AK22))</f>
        <v>14.557666591700201</v>
      </c>
      <c r="AM22" s="20">
        <f>IF(AJ22="","",(AH22^AJ22/(AH22^AJ22+AI22^AJ22)))</f>
        <v>0.54507291900936872</v>
      </c>
      <c r="AN22" s="38">
        <f>IF(OR(AG22="",AG22=0),"",IF(((M22/AG22)&gt;=F22),AK22,IF(OR(AM22=1,(AK22-(F22-M22/AG22)*League!$AA$5)&gt;=AK22),AK22,IF(OR(AM22=0,(AK22-(F22-M22/AG22)*League!$AA$5)&lt;=0),0,(AK22-(F22-M22/AG22)*League!$AA$5)))))</f>
        <v>12.309422018903177</v>
      </c>
      <c r="AO22" s="38">
        <f>IF(OR(AG22="",AG22=0),"",IF((W22/AG22)&gt;=F22,AL22,(M22/AG22-AN22)))</f>
        <v>9.4919399063532737</v>
      </c>
      <c r="AP22" s="20">
        <f>IF(OR(AN22="",(AN22+AO22)=0),"",(AN22/(AN22+AO22)))</f>
        <v>0.56461711250446944</v>
      </c>
      <c r="AQ22" s="22">
        <f>IF(AN22="","",((C22-AN22)+(AO22-D22)))</f>
        <v>1.1825178874500963</v>
      </c>
    </row>
    <row r="23" spans="1:43" x14ac:dyDescent="0.3">
      <c r="A23" s="15" t="s">
        <v>59</v>
      </c>
      <c r="B23" s="16" t="s">
        <v>41</v>
      </c>
      <c r="C23" s="16">
        <v>15</v>
      </c>
      <c r="D23" s="16">
        <v>12</v>
      </c>
      <c r="E23" s="17">
        <f>IF(OR(M23="",M23=0),"",(R23/M23*9))</f>
        <v>4.0393700787401583</v>
      </c>
      <c r="F23" s="16">
        <v>33</v>
      </c>
      <c r="G23" s="16">
        <v>33</v>
      </c>
      <c r="H23" s="16">
        <v>3</v>
      </c>
      <c r="I23" s="16">
        <v>2</v>
      </c>
      <c r="J23" s="16">
        <v>0</v>
      </c>
      <c r="K23" s="16">
        <v>0</v>
      </c>
      <c r="L23" s="16">
        <v>0</v>
      </c>
      <c r="M23" s="18">
        <f>IF(N23="","",(INT(N23)+(N23-INT(N23))*10/3))</f>
        <v>211.66666666666663</v>
      </c>
      <c r="N23" s="16">
        <v>211.2</v>
      </c>
      <c r="O23" s="16">
        <v>905</v>
      </c>
      <c r="P23" s="16">
        <v>236</v>
      </c>
      <c r="Q23" s="16">
        <v>99</v>
      </c>
      <c r="R23" s="16">
        <v>95</v>
      </c>
      <c r="S23" s="16">
        <v>30</v>
      </c>
      <c r="T23" s="16">
        <v>59</v>
      </c>
      <c r="U23" s="16">
        <v>1</v>
      </c>
      <c r="V23" s="16">
        <v>8</v>
      </c>
      <c r="W23" s="16">
        <v>7</v>
      </c>
      <c r="X23" s="16">
        <v>0</v>
      </c>
      <c r="Y23" s="16">
        <v>111</v>
      </c>
      <c r="Z23" s="17">
        <f>IF(OR(M23="",M23=0),"",((13*S23+3*(T23+V23)-2*Y23)/M23+League!$Y$2))</f>
        <v>4.7911613932726951</v>
      </c>
      <c r="AA23" s="16">
        <f>VLOOKUP(B23,BPF!$A$2:$B$31,2,FALSE)</f>
        <v>102</v>
      </c>
      <c r="AB23" s="19">
        <f>IF(OR(E23="",E23=0),"",(E23/(League!$E$3*AA23/100)*100))</f>
        <v>99.173581414498329</v>
      </c>
      <c r="AC23" s="19">
        <f>IF(OR(Z23="",Z23=0),"",(Z23/(League!$Y$3*AA23/100)*100))</f>
        <v>118.44410626927373</v>
      </c>
      <c r="AD23" s="20">
        <f>IF(OR((C23+D23)="",(C23+D23)=0),"",(C23/(C23+D23)))</f>
        <v>0.55555555555555558</v>
      </c>
      <c r="AE23" s="17">
        <f>IF(OR(F23="",F23=0),"",(M23/F23))</f>
        <v>6.4141414141414126</v>
      </c>
      <c r="AF23" s="34">
        <f>IF(OR(M23="",M23=0,AA23="",AA23=0),"",(Q23/M23*9)/(AA23/100))</f>
        <v>4.1269106067623911</v>
      </c>
      <c r="AG23" s="34">
        <f>(1.19*AE23-0.056*AF23+1.71)*League!$AC$4</f>
        <v>9.2121265650283348</v>
      </c>
      <c r="AH23" s="17">
        <f>IF(OR(League!$M$3="",League!$M$3=0),"",(League!$P$3/League!$M$3*9))</f>
        <v>4.3072548839768867</v>
      </c>
      <c r="AI23" s="17">
        <f>IF(OR(F23="",F23=0,League!$G$3="",League!$G$3=0,League!$M$5="",League!$M$5=0,AA23="",AA23=0),"",((Q23/F23/(AA23/100)+(League!$M$3/League!$G$3-M23/F23)*(League!$P$5/League!$M$5))/(League!$M$3/League!$G$3)*9))</f>
        <v>4.0892527407849233</v>
      </c>
      <c r="AJ23" s="17">
        <f>IF(AH23="","",((AH23+AI23)^0.287))</f>
        <v>1.8416891226333725</v>
      </c>
      <c r="AK23" s="21">
        <f>IF(AM23="","",(AM23*F23))</f>
        <v>17.288549557298449</v>
      </c>
      <c r="AL23" s="21">
        <f>IF(AK23="","",(F23-AK23))</f>
        <v>15.711450442701551</v>
      </c>
      <c r="AM23" s="20">
        <f>IF(AJ23="","",(AH23^AJ23/(AH23^AJ23+AI23^AJ23)))</f>
        <v>0.52389544113025599</v>
      </c>
      <c r="AN23" s="38">
        <f>IF(OR(AG23="",AG23=0),"",IF(((M23/AG23)&gt;=F23),AK23,IF(OR(AM23=1,(AK23-(F23-M23/AG23)*League!$AA$5)&gt;=AK23),AK23,IF(OR(AM23=0,(AK23-(F23-M23/AG23)*League!$AA$5)&lt;=0),0,(AK23-(F23-M23/AG23)*League!$AA$5)))))</f>
        <v>12.244015759120019</v>
      </c>
      <c r="AO23" s="38">
        <f>IF(OR(AG23="",AG23=0),"",IF((W23/AG23)&gt;=F23,AL23,(M23/AG23-AN23)))</f>
        <v>10.732944573818651</v>
      </c>
      <c r="AP23" s="20">
        <f>IF(OR(AN23="",(AN23+AO23)=0),"",(AN23/(AN23+AO23)))</f>
        <v>0.53288231261676444</v>
      </c>
      <c r="AQ23" s="22">
        <f>IF(AN23="","",((C23-AN23)+(AO23-D23)))</f>
        <v>1.4889288146986317</v>
      </c>
    </row>
    <row r="24" spans="1:43" x14ac:dyDescent="0.3">
      <c r="A24" s="15" t="s">
        <v>63</v>
      </c>
      <c r="B24" s="16" t="s">
        <v>64</v>
      </c>
      <c r="C24" s="16">
        <v>12</v>
      </c>
      <c r="D24" s="16">
        <v>10</v>
      </c>
      <c r="E24" s="17">
        <f>IF(OR(M24="",M24=0),"",(R24/M24*9))</f>
        <v>4.1538461538461542</v>
      </c>
      <c r="F24" s="16">
        <v>33</v>
      </c>
      <c r="G24" s="16">
        <v>33</v>
      </c>
      <c r="H24" s="16">
        <v>1</v>
      </c>
      <c r="I24" s="16">
        <v>1</v>
      </c>
      <c r="J24" s="16">
        <v>0</v>
      </c>
      <c r="K24" s="16">
        <v>0</v>
      </c>
      <c r="L24" s="16">
        <v>0</v>
      </c>
      <c r="M24" s="18">
        <f>IF(N24="","",(INT(N24)+(N24-INT(N24))*10/3))</f>
        <v>203.66666666666663</v>
      </c>
      <c r="N24" s="16">
        <v>203.2</v>
      </c>
      <c r="O24" s="16">
        <v>876</v>
      </c>
      <c r="P24" s="16">
        <v>223</v>
      </c>
      <c r="Q24" s="16">
        <v>100</v>
      </c>
      <c r="R24" s="16">
        <v>94</v>
      </c>
      <c r="S24" s="16">
        <v>24</v>
      </c>
      <c r="T24" s="16">
        <v>51</v>
      </c>
      <c r="U24" s="16">
        <v>3</v>
      </c>
      <c r="V24" s="16">
        <v>9</v>
      </c>
      <c r="W24" s="16">
        <v>2</v>
      </c>
      <c r="X24" s="16">
        <v>0</v>
      </c>
      <c r="Y24" s="16">
        <v>139</v>
      </c>
      <c r="Z24" s="17">
        <f>IF(OR(M24="",M24=0),"",((13*S24+3*(T24+V24)-2*Y24)/M24+League!$Y$2))</f>
        <v>4.0985908042035302</v>
      </c>
      <c r="AA24" s="16">
        <f>VLOOKUP(B24,BPF!$A$2:$B$31,2,FALSE)</f>
        <v>102</v>
      </c>
      <c r="AB24" s="19">
        <f>IF(OR(E24="",E24=0),"",(E24/(League!$E$3*AA24/100)*100))</f>
        <v>101.98416874203471</v>
      </c>
      <c r="AC24" s="19">
        <f>IF(OR(Z24="",Z24=0),"",(Z24/(League!$Y$3*AA24/100)*100))</f>
        <v>101.322807753665</v>
      </c>
      <c r="AD24" s="20">
        <f>IF(OR((C24+D24)="",(C24+D24)=0),"",(C24/(C24+D24)))</f>
        <v>0.54545454545454541</v>
      </c>
      <c r="AE24" s="17">
        <f>IF(OR(F24="",F24=0),"",(M24/F24))</f>
        <v>6.1717171717171704</v>
      </c>
      <c r="AF24" s="34">
        <f>IF(OR(M24="",M24=0,AA24="",AA24=0),"",(Q24/M24*9)/(AA24/100))</f>
        <v>4.332338500048138</v>
      </c>
      <c r="AG24" s="34">
        <f>(1.19*AE24-0.056*AF24+1.71)*League!$AC$4</f>
        <v>8.9088320718262999</v>
      </c>
      <c r="AH24" s="17">
        <f>IF(OR(League!$M$3="",League!$M$3=0),"",(League!$P$3/League!$M$3*9))</f>
        <v>4.3072548839768867</v>
      </c>
      <c r="AI24" s="17">
        <f>IF(OR(F24="",F24=0,League!$G$3="",League!$G$3=0,League!$M$5="",League!$M$5=0,AA24="",AA24=0),"",((Q24/F24/(AA24/100)+(League!$M$3/League!$G$3-M24/F24)*(League!$P$5/League!$M$5))/(League!$M$3/League!$G$3)*9))</f>
        <v>4.2270768404088237</v>
      </c>
      <c r="AJ24" s="17">
        <f>IF(AH24="","",((AH24+AI24)^0.287))</f>
        <v>1.8503149257973972</v>
      </c>
      <c r="AK24" s="21">
        <f>IF(AM24="","",(AM24*F24))</f>
        <v>16.786803577909613</v>
      </c>
      <c r="AL24" s="21">
        <f>IF(AK24="","",(F24-AK24))</f>
        <v>16.213196422090387</v>
      </c>
      <c r="AM24" s="20">
        <f>IF(AJ24="","",(AH24^AJ24/(AH24^AJ24+AI24^AJ24)))</f>
        <v>0.50869101751241252</v>
      </c>
      <c r="AN24" s="38">
        <f>IF(OR(AG24="",AG24=0),"",IF(((M24/AG24)&gt;=F24),AK24,IF(OR(AM24=1,(AK24-(F24-M24/AG24)*League!$AA$5)&gt;=AK24),AK24,IF(OR(AM24=0,(AK24-(F24-M24/AG24)*League!$AA$5)&lt;=0),0,(AK24-(F24-M24/AG24)*League!$AA$5)))))</f>
        <v>11.684012552730517</v>
      </c>
      <c r="AO24" s="38">
        <f>IF(OR(AG24="",AG24=0),"",IF((W24/AG24)&gt;=F24,AL24,(M24/AG24-AN24)))</f>
        <v>11.177195855356045</v>
      </c>
      <c r="AP24" s="20">
        <f>IF(OR(AN24="",(AN24+AO24)=0),"",(AN24/(AN24+AO24)))</f>
        <v>0.51108464365328998</v>
      </c>
      <c r="AQ24" s="22">
        <f>IF(AN24="","",((C24-AN24)+(AO24-D24)))</f>
        <v>1.4931833026255283</v>
      </c>
    </row>
    <row r="25" spans="1:43" x14ac:dyDescent="0.3">
      <c r="A25" s="15" t="s">
        <v>57</v>
      </c>
      <c r="B25" s="16" t="s">
        <v>53</v>
      </c>
      <c r="C25" s="16">
        <v>11</v>
      </c>
      <c r="D25" s="16">
        <v>8</v>
      </c>
      <c r="E25" s="17">
        <f>IF(OR(M25="",M25=0),"",(R25/M25*9))</f>
        <v>3.8117647058823527</v>
      </c>
      <c r="F25" s="16">
        <v>28</v>
      </c>
      <c r="G25" s="16">
        <v>28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8">
        <f>IF(N25="","",(INT(N25)+(N25-INT(N25))*10/3))</f>
        <v>170</v>
      </c>
      <c r="N25" s="16">
        <v>170</v>
      </c>
      <c r="O25" s="16">
        <v>707</v>
      </c>
      <c r="P25" s="16">
        <v>156</v>
      </c>
      <c r="Q25" s="16">
        <v>81</v>
      </c>
      <c r="R25" s="16">
        <v>72</v>
      </c>
      <c r="S25" s="16">
        <v>24</v>
      </c>
      <c r="T25" s="16">
        <v>53</v>
      </c>
      <c r="U25" s="16">
        <v>3</v>
      </c>
      <c r="V25" s="16">
        <v>3</v>
      </c>
      <c r="W25" s="16">
        <v>4</v>
      </c>
      <c r="X25" s="16">
        <v>0</v>
      </c>
      <c r="Y25" s="16">
        <v>120</v>
      </c>
      <c r="Z25" s="17">
        <f>IF(OR(M25="",M25=0),"",((13*S25+3*(T25+V25)-2*Y25)/M25+League!$Y$2))</f>
        <v>4.4596190125408741</v>
      </c>
      <c r="AA25" s="16">
        <f>VLOOKUP(B25,BPF!$A$2:$B$31,2,FALSE)</f>
        <v>103</v>
      </c>
      <c r="AB25" s="19">
        <f>IF(OR(E25="",E25=0),"",(E25/(League!$E$3*AA25/100)*100))</f>
        <v>92.676875672373257</v>
      </c>
      <c r="AC25" s="19">
        <f>IF(OR(Z25="",Z25=0),"",(Z25/(League!$Y$3*AA25/100)*100))</f>
        <v>109.17755396309036</v>
      </c>
      <c r="AD25" s="20">
        <f>IF(OR((C25+D25)="",(C25+D25)=0),"",(C25/(C25+D25)))</f>
        <v>0.57894736842105265</v>
      </c>
      <c r="AE25" s="17">
        <f>IF(OR(F25="",F25=0),"",(M25/F25))</f>
        <v>6.0714285714285712</v>
      </c>
      <c r="AF25" s="34">
        <f>IF(OR(M25="",M25=0,AA25="",AA25=0),"",(Q25/M25*9)/(AA25/100))</f>
        <v>4.1633352370074244</v>
      </c>
      <c r="AG25" s="34">
        <f>(1.19*AE25-0.056*AF25+1.71)*League!$AC$4</f>
        <v>8.7977420219177649</v>
      </c>
      <c r="AH25" s="17">
        <f>IF(OR(League!$M$3="",League!$M$3=0),"",(League!$P$3/League!$M$3*9))</f>
        <v>4.3072548839768867</v>
      </c>
      <c r="AI25" s="17">
        <f>IF(OR(F25="",F25=0,League!$G$3="",League!$G$3=0,League!$M$5="",League!$M$5=0,AA25="",AA25=0),"",((Q25/F25/(AA25/100)+(League!$M$3/League!$G$3-M25/F25)*(League!$P$5/League!$M$5))/(League!$M$3/League!$G$3)*9))</f>
        <v>4.1088604492294856</v>
      </c>
      <c r="AJ25" s="17">
        <f>IF(AH25="","",((AH25+AI25)^0.287))</f>
        <v>1.8429224124679526</v>
      </c>
      <c r="AK25" s="21">
        <f>IF(AM25="","",(AM25*F25))</f>
        <v>14.607939213947006</v>
      </c>
      <c r="AL25" s="21">
        <f>IF(AK25="","",(F25-AK25))</f>
        <v>13.392060786052994</v>
      </c>
      <c r="AM25" s="20">
        <f>IF(AJ25="","",(AH25^AJ25/(AH25^AJ25+AI25^AJ25)))</f>
        <v>0.52171211478382162</v>
      </c>
      <c r="AN25" s="38">
        <f>IF(OR(AG25="",AG25=0),"",IF(((M25/AG25)&gt;=F25),AK25,IF(OR(AM25=1,(AK25-(F25-M25/AG25)*League!$AA$5)&gt;=AK25),AK25,IF(OR(AM25=0,(AK25-(F25-M25/AG25)*League!$AA$5)&lt;=0),0,(AK25-(F25-M25/AG25)*League!$AA$5)))))</f>
        <v>10.240929261929601</v>
      </c>
      <c r="AO25" s="38">
        <f>IF(OR(AG25="",AG25=0),"",IF((W25/AG25)&gt;=F25,AL25,(M25/AG25-AN25)))</f>
        <v>9.0822106501614748</v>
      </c>
      <c r="AP25" s="20">
        <f>IF(OR(AN25="",(AN25+AO25)=0),"",(AN25/(AN25+AO25)))</f>
        <v>0.52998266888920786</v>
      </c>
      <c r="AQ25" s="22">
        <f>IF(AN25="","",((C25-AN25)+(AO25-D25)))</f>
        <v>1.8412813882318737</v>
      </c>
    </row>
    <row r="26" spans="1:43" x14ac:dyDescent="0.3">
      <c r="A26" s="15" t="s">
        <v>50</v>
      </c>
      <c r="B26" s="16" t="s">
        <v>28</v>
      </c>
      <c r="C26" s="16">
        <v>14</v>
      </c>
      <c r="D26" s="16">
        <v>9</v>
      </c>
      <c r="E26" s="17">
        <f>IF(OR(M26="",M26=0),"",(R26/M26*9))</f>
        <v>3.6837881219903696</v>
      </c>
      <c r="F26" s="16">
        <v>32</v>
      </c>
      <c r="G26" s="16">
        <v>32</v>
      </c>
      <c r="H26" s="16">
        <v>1</v>
      </c>
      <c r="I26" s="16">
        <v>0</v>
      </c>
      <c r="J26" s="16">
        <v>0</v>
      </c>
      <c r="K26" s="16">
        <v>0</v>
      </c>
      <c r="L26" s="16">
        <v>0</v>
      </c>
      <c r="M26" s="18">
        <f>IF(N26="","",(INT(N26)+(N26-INT(N26))*10/3))</f>
        <v>207.66666666666663</v>
      </c>
      <c r="N26" s="16">
        <v>207.2</v>
      </c>
      <c r="O26" s="16">
        <v>877</v>
      </c>
      <c r="P26" s="16">
        <v>228</v>
      </c>
      <c r="Q26" s="16">
        <v>91</v>
      </c>
      <c r="R26" s="16">
        <v>85</v>
      </c>
      <c r="S26" s="16">
        <v>14</v>
      </c>
      <c r="T26" s="16">
        <v>44</v>
      </c>
      <c r="U26" s="16">
        <v>2</v>
      </c>
      <c r="V26" s="16">
        <v>16</v>
      </c>
      <c r="W26" s="16">
        <v>7</v>
      </c>
      <c r="X26" s="16">
        <v>0</v>
      </c>
      <c r="Y26" s="16">
        <v>158</v>
      </c>
      <c r="Z26" s="17">
        <f>IF(OR(M26="",M26=0),"",((13*S26+3*(T26+V26)-2*Y26)/M26+League!$Y$2))</f>
        <v>3.2693631349089225</v>
      </c>
      <c r="AA26" s="16">
        <f>VLOOKUP(B26,BPF!$A$2:$B$31,2,FALSE)</f>
        <v>102</v>
      </c>
      <c r="AB26" s="19">
        <f>IF(OR(E26="",E26=0),"",(E26/(League!$E$3*AA26/100)*100))</f>
        <v>90.443424125159183</v>
      </c>
      <c r="AC26" s="19">
        <f>IF(OR(Z26="",Z26=0),"",(Z26/(League!$Y$3*AA26/100)*100))</f>
        <v>80.823158060949567</v>
      </c>
      <c r="AD26" s="20">
        <f>IF(OR((C26+D26)="",(C26+D26)=0),"",(C26/(C26+D26)))</f>
        <v>0.60869565217391308</v>
      </c>
      <c r="AE26" s="17">
        <f>IF(OR(F26="",F26=0),"",(M26/F26))</f>
        <v>6.4895833333333321</v>
      </c>
      <c r="AF26" s="34">
        <f>IF(OR(M26="",M26=0,AA26="",AA26=0),"",(Q26/M26*9)/(AA26/100))</f>
        <v>3.8664904163912759</v>
      </c>
      <c r="AG26" s="34">
        <f>(1.19*AE26-0.056*AF26+1.71)*League!$AC$4</f>
        <v>9.317635952787489</v>
      </c>
      <c r="AH26" s="17">
        <f>IF(OR(League!$M$3="",League!$M$3=0),"",(League!$P$3/League!$M$3*9))</f>
        <v>4.3072548839768867</v>
      </c>
      <c r="AI26" s="17">
        <f>IF(OR(F26="",F26=0,League!$G$3="",League!$G$3=0,League!$M$5="",League!$M$5=0,AA26="",AA26=0),"",((Q26/F26/(AA26/100)+(League!$M$3/League!$G$3-M26/F26)*(League!$P$5/League!$M$5))/(League!$M$3/League!$G$3)*9))</f>
        <v>3.9018799465875711</v>
      </c>
      <c r="AJ26" s="17">
        <f>IF(AH26="","",((AH26+AI26)^0.287))</f>
        <v>1.8297988511239027</v>
      </c>
      <c r="AK26" s="21">
        <f>IF(AM26="","",(AM26*F26))</f>
        <v>17.442961107207093</v>
      </c>
      <c r="AL26" s="21">
        <f>IF(AK26="","",(F26-AK26))</f>
        <v>14.557038892792907</v>
      </c>
      <c r="AM26" s="20">
        <f>IF(AJ26="","",(AH26^AJ26/(AH26^AJ26+AI26^AJ26)))</f>
        <v>0.54509253460022167</v>
      </c>
      <c r="AN26" s="38">
        <f>IF(OR(AG26="",AG26=0),"",IF(((M26/AG26)&gt;=F26),AK26,IF(OR(AM26=1,(AK26-(F26-M26/AG26)*League!$AA$5)&gt;=AK26),AK26,IF(OR(AM26=0,(AK26-(F26-M26/AG26)*League!$AA$5)&lt;=0),0,(AK26-(F26-M26/AG26)*League!$AA$5)))))</f>
        <v>12.55471218821328</v>
      </c>
      <c r="AO26" s="38">
        <f>IF(OR(AG26="",AG26=0),"",IF((W26/AG26)&gt;=F26,AL26,(M26/AG26-AN26)))</f>
        <v>9.7327722894927327</v>
      </c>
      <c r="AP26" s="20">
        <f>IF(OR(AN26="",(AN26+AO26)=0),"",(AN26/(AN26+AO26)))</f>
        <v>0.56330772549821206</v>
      </c>
      <c r="AQ26" s="22">
        <f>IF(AN26="","",((C26-AN26)+(AO26-D26)))</f>
        <v>2.1780601012794527</v>
      </c>
    </row>
    <row r="27" spans="1:43" x14ac:dyDescent="0.3">
      <c r="A27" s="15" t="s">
        <v>56</v>
      </c>
      <c r="B27" s="16" t="s">
        <v>34</v>
      </c>
      <c r="C27" s="16">
        <v>14</v>
      </c>
      <c r="D27" s="16">
        <v>10</v>
      </c>
      <c r="E27" s="17">
        <f>IF(OR(M27="",M27=0),"",(R27/M27*9))</f>
        <v>3.8249999999999997</v>
      </c>
      <c r="F27" s="16">
        <v>32</v>
      </c>
      <c r="G27" s="16">
        <v>32</v>
      </c>
      <c r="H27" s="16">
        <v>1</v>
      </c>
      <c r="I27" s="16">
        <v>1</v>
      </c>
      <c r="J27" s="16">
        <v>0</v>
      </c>
      <c r="K27" s="16">
        <v>0</v>
      </c>
      <c r="L27" s="16">
        <v>0</v>
      </c>
      <c r="M27" s="18">
        <f>IF(N27="","",(INT(N27)+(N27-INT(N27))*10/3))</f>
        <v>200</v>
      </c>
      <c r="N27" s="16">
        <v>200</v>
      </c>
      <c r="O27" s="16">
        <v>823</v>
      </c>
      <c r="P27" s="16">
        <v>171</v>
      </c>
      <c r="Q27" s="16">
        <v>91</v>
      </c>
      <c r="R27" s="16">
        <v>85</v>
      </c>
      <c r="S27" s="16">
        <v>36</v>
      </c>
      <c r="T27" s="16">
        <v>54</v>
      </c>
      <c r="U27" s="16">
        <v>2</v>
      </c>
      <c r="V27" s="16">
        <v>4</v>
      </c>
      <c r="W27" s="16">
        <v>7</v>
      </c>
      <c r="X27" s="16">
        <v>0</v>
      </c>
      <c r="Y27" s="16">
        <v>171</v>
      </c>
      <c r="Z27" s="17">
        <f>IF(OR(M27="",M27=0),"",((13*S27+3*(T27+V27)-2*Y27)/M27+League!$Y$2))</f>
        <v>4.5478543066585218</v>
      </c>
      <c r="AA27" s="16">
        <f>VLOOKUP(B27,BPF!$A$2:$B$31,2,FALSE)</f>
        <v>97</v>
      </c>
      <c r="AB27" s="19">
        <f>IF(OR(E27="",E27=0),"",(E27/(League!$E$3*AA27/100)*100))</f>
        <v>98.751165454593888</v>
      </c>
      <c r="AC27" s="19">
        <f>IF(OR(Z27="",Z27=0),"",(Z27/(League!$Y$3*AA27/100)*100))</f>
        <v>118.22454071847852</v>
      </c>
      <c r="AD27" s="20">
        <f>IF(OR((C27+D27)="",(C27+D27)=0),"",(C27/(C27+D27)))</f>
        <v>0.58333333333333337</v>
      </c>
      <c r="AE27" s="17">
        <f>IF(OR(F27="",F27=0),"",(M27/F27))</f>
        <v>6.25</v>
      </c>
      <c r="AF27" s="34">
        <f>IF(OR(M27="",M27=0,AA27="",AA27=0),"",(Q27/M27*9)/(AA27/100))</f>
        <v>4.2216494845360826</v>
      </c>
      <c r="AG27" s="34">
        <f>(1.19*AE27-0.056*AF27+1.71)*League!$AC$4</f>
        <v>9.009282051858726</v>
      </c>
      <c r="AH27" s="17">
        <f>IF(OR(League!$M$3="",League!$M$3=0),"",(League!$P$3/League!$M$3*9))</f>
        <v>4.3072548839768867</v>
      </c>
      <c r="AI27" s="17">
        <f>IF(OR(F27="",F27=0,League!$G$3="",League!$G$3=0,League!$M$5="",League!$M$5=0,AA27="",AA27=0),"",((Q27/F27/(AA27/100)+(League!$M$3/League!$G$3-M27/F27)*(League!$P$5/League!$M$5))/(League!$M$3/League!$G$3)*9))</f>
        <v>4.1528690582793617</v>
      </c>
      <c r="AJ27" s="17">
        <f>IF(AH27="","",((AH27+AI27)^0.287))</f>
        <v>1.8456830346379052</v>
      </c>
      <c r="AK27" s="21">
        <f>IF(AM27="","",(AM27*F27))</f>
        <v>16.538755603185592</v>
      </c>
      <c r="AL27" s="21">
        <f>IF(AK27="","",(F27-AK27))</f>
        <v>15.461244396814408</v>
      </c>
      <c r="AM27" s="20">
        <f>IF(AJ27="","",(AH27^AJ27/(AH27^AJ27+AI27^AJ27)))</f>
        <v>0.51683611259954976</v>
      </c>
      <c r="AN27" s="38">
        <f>IF(OR(AG27="",AG27=0),"",IF(((M27/AG27)&gt;=F27),AK27,IF(OR(AM27=1,(AK27-(F27-M27/AG27)*League!$AA$5)&gt;=AK27),AK27,IF(OR(AM27=0,(AK27-(F27-M27/AG27)*League!$AA$5)&lt;=0),0,(AK27-(F27-M27/AG27)*League!$AA$5)))))</f>
        <v>11.606137666285509</v>
      </c>
      <c r="AO27" s="38">
        <f>IF(OR(AG27="",AG27=0),"",IF((W27/AG27)&gt;=F27,AL27,(M27/AG27-AN27)))</f>
        <v>10.593189521915633</v>
      </c>
      <c r="AP27" s="20">
        <f>IF(OR(AN27="",(AN27+AO27)=0),"",(AN27/(AN27+AO27)))</f>
        <v>0.52281483884133784</v>
      </c>
      <c r="AQ27" s="22">
        <f>IF(AN27="","",((C27-AN27)+(AO27-D27)))</f>
        <v>2.9870518556301242</v>
      </c>
    </row>
    <row r="28" spans="1:43" x14ac:dyDescent="0.3">
      <c r="A28" s="15" t="s">
        <v>58</v>
      </c>
      <c r="B28" s="16" t="s">
        <v>34</v>
      </c>
      <c r="C28" s="16">
        <v>12</v>
      </c>
      <c r="D28" s="16">
        <v>8</v>
      </c>
      <c r="E28" s="17">
        <f>IF(OR(M28="",M28=0),"",(R28/M28*9))</f>
        <v>3.9746192893401013</v>
      </c>
      <c r="F28" s="16">
        <v>32</v>
      </c>
      <c r="G28" s="16">
        <v>32</v>
      </c>
      <c r="H28" s="16">
        <v>1</v>
      </c>
      <c r="I28" s="16">
        <v>0</v>
      </c>
      <c r="J28" s="16">
        <v>0</v>
      </c>
      <c r="K28" s="16">
        <v>0</v>
      </c>
      <c r="L28" s="16">
        <v>0</v>
      </c>
      <c r="M28" s="18">
        <f>IF(N28="","",(INT(N28)+(N28-INT(N28))*10/3))</f>
        <v>197</v>
      </c>
      <c r="N28" s="16">
        <v>197</v>
      </c>
      <c r="O28" s="16">
        <v>818</v>
      </c>
      <c r="P28" s="16">
        <v>178</v>
      </c>
      <c r="Q28" s="16">
        <v>92</v>
      </c>
      <c r="R28" s="16">
        <v>87</v>
      </c>
      <c r="S28" s="16">
        <v>25</v>
      </c>
      <c r="T28" s="16">
        <v>63</v>
      </c>
      <c r="U28" s="16">
        <v>2</v>
      </c>
      <c r="V28" s="16">
        <v>7</v>
      </c>
      <c r="W28" s="16">
        <v>7</v>
      </c>
      <c r="X28" s="16">
        <v>0</v>
      </c>
      <c r="Y28" s="16">
        <v>134</v>
      </c>
      <c r="Z28" s="17">
        <f>IF(OR(M28="",M28=0),"",((13*S28+3*(T28+V28)-2*Y28)/M28+League!$Y$2))</f>
        <v>4.4031842558971004</v>
      </c>
      <c r="AA28" s="16">
        <f>VLOOKUP(B28,BPF!$A$2:$B$31,2,FALSE)</f>
        <v>97</v>
      </c>
      <c r="AB28" s="19">
        <f>IF(OR(E28="",E28=0),"",(E28/(League!$E$3*AA28/100)*100))</f>
        <v>102.61393125768492</v>
      </c>
      <c r="AC28" s="19">
        <f>IF(OR(Z28="",Z28=0),"",(Z28/(League!$Y$3*AA28/100)*100))</f>
        <v>114.46374515342563</v>
      </c>
      <c r="AD28" s="20">
        <f>IF(OR((C28+D28)="",(C28+D28)=0),"",(C28/(C28+D28)))</f>
        <v>0.6</v>
      </c>
      <c r="AE28" s="17">
        <f>IF(OR(F28="",F28=0),"",(M28/F28))</f>
        <v>6.15625</v>
      </c>
      <c r="AF28" s="34">
        <f>IF(OR(M28="",M28=0,AA28="",AA28=0),"",(Q28/M28*9)/(AA28/100))</f>
        <v>4.3330367889476165</v>
      </c>
      <c r="AG28" s="34">
        <f>(1.19*AE28-0.056*AF28+1.71)*League!$AC$4</f>
        <v>8.8901837809081368</v>
      </c>
      <c r="AH28" s="17">
        <f>IF(OR(League!$M$3="",League!$M$3=0),"",(League!$P$3/League!$M$3*9))</f>
        <v>4.3072548839768867</v>
      </c>
      <c r="AI28" s="17">
        <f>IF(OR(F28="",F28=0,League!$G$3="",League!$G$3=0,League!$M$5="",League!$M$5=0,AA28="",AA28=0),"",((Q28/F28/(AA28/100)+(League!$M$3/League!$G$3-M28/F28)*(League!$P$5/League!$M$5))/(League!$M$3/League!$G$3)*9))</f>
        <v>4.2269736905272435</v>
      </c>
      <c r="AJ28" s="17">
        <f>IF(AH28="","",((AH28+AI28)^0.287))</f>
        <v>1.850308507369981</v>
      </c>
      <c r="AK28" s="21">
        <f>IF(AM28="","",(AM28*F28))</f>
        <v>16.278472703457119</v>
      </c>
      <c r="AL28" s="21">
        <f>IF(AK28="","",(F28-AK28))</f>
        <v>15.721527296542881</v>
      </c>
      <c r="AM28" s="20">
        <f>IF(AJ28="","",(AH28^AJ28/(AH28^AJ28+AI28^AJ28)))</f>
        <v>0.50870227198303497</v>
      </c>
      <c r="AN28" s="38">
        <f>IF(OR(AG28="",AG28=0),"",IF(((M28/AG28)&gt;=F28),AK28,IF(OR(AM28=1,(AK28-(F28-M28/AG28)*League!$AA$5)&gt;=AK28),AK28,IF(OR(AM28=0,(AK28-(F28-M28/AG28)*League!$AA$5)&lt;=0),0,(AK28-(F28-M28/AG28)*League!$AA$5)))))</f>
        <v>11.325695208302882</v>
      </c>
      <c r="AO28" s="38">
        <f>IF(OR(AG28="",AG28=0),"",IF((W28/AG28)&gt;=F28,AL28,(M28/AG28-AN28)))</f>
        <v>10.833576731953492</v>
      </c>
      <c r="AP28" s="20">
        <f>IF(OR(AN28="",(AN28+AO28)=0),"",(AN28/(AN28+AO28)))</f>
        <v>0.51110412105768166</v>
      </c>
      <c r="AQ28" s="22">
        <f>IF(AN28="","",((C28-AN28)+(AO28-D28)))</f>
        <v>3.5078815236506102</v>
      </c>
    </row>
    <row r="29" spans="1:43" x14ac:dyDescent="0.3">
      <c r="A29" s="15" t="s">
        <v>62</v>
      </c>
      <c r="B29" s="16" t="s">
        <v>43</v>
      </c>
      <c r="C29" s="16">
        <v>15</v>
      </c>
      <c r="D29" s="16">
        <v>8</v>
      </c>
      <c r="E29" s="17">
        <f>IF(OR(M29="",M29=0),"",(R29/M29*9))</f>
        <v>3.7546875000000002</v>
      </c>
      <c r="F29" s="16">
        <v>33</v>
      </c>
      <c r="G29" s="16">
        <v>33</v>
      </c>
      <c r="H29" s="16">
        <v>1</v>
      </c>
      <c r="I29" s="16">
        <v>1</v>
      </c>
      <c r="J29" s="16">
        <v>0</v>
      </c>
      <c r="K29" s="16">
        <v>0</v>
      </c>
      <c r="L29" s="16">
        <v>0</v>
      </c>
      <c r="M29" s="18">
        <f>IF(N29="","",(INT(N29)+(N29-INT(N29))*10/3))</f>
        <v>213.33333333333331</v>
      </c>
      <c r="N29" s="16">
        <v>213.1</v>
      </c>
      <c r="O29" s="16">
        <v>903</v>
      </c>
      <c r="P29" s="16">
        <v>209</v>
      </c>
      <c r="Q29" s="16">
        <v>94</v>
      </c>
      <c r="R29" s="16">
        <v>89</v>
      </c>
      <c r="S29" s="16">
        <v>19</v>
      </c>
      <c r="T29" s="16">
        <v>67</v>
      </c>
      <c r="U29" s="16">
        <v>0</v>
      </c>
      <c r="V29" s="16">
        <v>7</v>
      </c>
      <c r="W29" s="16">
        <v>5</v>
      </c>
      <c r="X29" s="16">
        <v>0</v>
      </c>
      <c r="Y29" s="16">
        <v>177</v>
      </c>
      <c r="Z29" s="17">
        <f>IF(OR(M29="",M29=0),"",((13*S29+3*(T29+V29)-2*Y29)/M29+League!$Y$2))</f>
        <v>3.5869168066585213</v>
      </c>
      <c r="AA29" s="16">
        <f>VLOOKUP(B29,BPF!$A$2:$B$31,2,FALSE)</f>
        <v>104</v>
      </c>
      <c r="AB29" s="19">
        <f>IF(OR(E29="",E29=0),"",(E29/(League!$E$3*AA29/100)*100))</f>
        <v>90.411355843768661</v>
      </c>
      <c r="AC29" s="19">
        <f>IF(OR(Z29="",Z29=0),"",(Z29/(League!$Y$3*AA29/100)*100))</f>
        <v>86.968262005547501</v>
      </c>
      <c r="AD29" s="20">
        <f>IF(OR((C29+D29)="",(C29+D29)=0),"",(C29/(C29+D29)))</f>
        <v>0.65217391304347827</v>
      </c>
      <c r="AE29" s="17">
        <f>IF(OR(F29="",F29=0),"",(M29/F29))</f>
        <v>6.4646464646464636</v>
      </c>
      <c r="AF29" s="34">
        <f>IF(OR(M29="",M29=0,AA29="",AA29=0),"",(Q29/M29*9)/(AA29/100))</f>
        <v>3.8131009615384617</v>
      </c>
      <c r="AG29" s="34">
        <f>(1.19*AE29-0.056*AF29+1.71)*League!$AC$4</f>
        <v>9.2906568363705304</v>
      </c>
      <c r="AH29" s="17">
        <f>IF(OR(League!$M$3="",League!$M$3=0),"",(League!$P$3/League!$M$3*9))</f>
        <v>4.3072548839768867</v>
      </c>
      <c r="AI29" s="17">
        <f>IF(OR(F29="",F29=0,League!$G$3="",League!$G$3=0,League!$M$5="",League!$M$5=0,AA29="",AA29=0),"",((Q29/F29/(AA29/100)+(League!$M$3/League!$G$3-M29/F29)*(League!$P$5/League!$M$5))/(League!$M$3/League!$G$3)*9))</f>
        <v>3.8637427312889949</v>
      </c>
      <c r="AJ29" s="17">
        <f>IF(AH29="","",((AH29+AI29)^0.287))</f>
        <v>1.8273550974435397</v>
      </c>
      <c r="AK29" s="21">
        <f>IF(AM29="","",(AM29*F29))</f>
        <v>18.13282882096372</v>
      </c>
      <c r="AL29" s="21">
        <f>IF(AK29="","",(F29-AK29))</f>
        <v>14.86717117903628</v>
      </c>
      <c r="AM29" s="20">
        <f>IF(AJ29="","",(AH29^AJ29/(AH29^AJ29+AI29^AJ29)))</f>
        <v>0.54947966124132486</v>
      </c>
      <c r="AN29" s="38">
        <f>IF(OR(AG29="",AG29=0),"",IF(((M29/AG29)&gt;=F29),AK29,IF(OR(AM29=1,(AK29-(F29-M29/AG29)*League!$AA$5)&gt;=AK29),AK29,IF(OR(AM29=0,(AK29-(F29-M29/AG29)*League!$AA$5)&lt;=0),0,(AK29-(F29-M29/AG29)*League!$AA$5)))))</f>
        <v>13.080834435582034</v>
      </c>
      <c r="AO29" s="38">
        <f>IF(OR(AG29="",AG29=0),"",IF((W29/AG29)&gt;=F29,AL29,(M29/AG29-AN29)))</f>
        <v>9.881302374615089</v>
      </c>
      <c r="AP29" s="20">
        <f>IF(OR(AN29="",(AN29+AO29)=0),"",(AN29/(AN29+AO29)))</f>
        <v>0.56966973691111544</v>
      </c>
      <c r="AQ29" s="22">
        <f>IF(AN29="","",((C29-AN29)+(AO29-D29)))</f>
        <v>3.8004679390330551</v>
      </c>
    </row>
    <row r="30" spans="1:43" x14ac:dyDescent="0.3">
      <c r="A30" s="15" t="s">
        <v>71</v>
      </c>
      <c r="B30" s="16" t="s">
        <v>26</v>
      </c>
      <c r="C30" s="16">
        <v>14</v>
      </c>
      <c r="D30" s="16">
        <v>13</v>
      </c>
      <c r="E30" s="17">
        <f>IF(OR(M30="",M30=0),"",(R30/M30*9))</f>
        <v>4.7772511848341237</v>
      </c>
      <c r="F30" s="16">
        <v>32</v>
      </c>
      <c r="G30" s="16">
        <v>32</v>
      </c>
      <c r="H30" s="16">
        <v>2</v>
      </c>
      <c r="I30" s="16">
        <v>0</v>
      </c>
      <c r="J30" s="16">
        <v>0</v>
      </c>
      <c r="K30" s="16">
        <v>0</v>
      </c>
      <c r="L30" s="16">
        <v>0</v>
      </c>
      <c r="M30" s="18">
        <f>IF(N30="","",(INT(N30)+(N30-INT(N30))*10/3))</f>
        <v>211</v>
      </c>
      <c r="N30" s="16">
        <v>211</v>
      </c>
      <c r="O30" s="16">
        <v>908</v>
      </c>
      <c r="P30" s="16">
        <v>224</v>
      </c>
      <c r="Q30" s="16">
        <v>122</v>
      </c>
      <c r="R30" s="16">
        <v>112</v>
      </c>
      <c r="S30" s="16">
        <v>28</v>
      </c>
      <c r="T30" s="16">
        <v>65</v>
      </c>
      <c r="U30" s="16">
        <v>5</v>
      </c>
      <c r="V30" s="16">
        <v>4</v>
      </c>
      <c r="W30" s="16">
        <v>7</v>
      </c>
      <c r="X30" s="16">
        <v>1</v>
      </c>
      <c r="Y30" s="16">
        <v>175</v>
      </c>
      <c r="Z30" s="17">
        <f>IF(OR(M30="",M30=0),"",((13*S30+3*(T30+V30)-2*Y30)/M30+League!$Y$2))</f>
        <v>4.0952476715874315</v>
      </c>
      <c r="AA30" s="16">
        <f>VLOOKUP(B30,BPF!$A$2:$B$31,2,FALSE)</f>
        <v>103</v>
      </c>
      <c r="AB30" s="19">
        <f>IF(OR(E30="",E30=0),"",(E30/(League!$E$3*AA30/100)*100))</f>
        <v>116.15111327027296</v>
      </c>
      <c r="AC30" s="19">
        <f>IF(OR(Z30="",Z30=0),"",(Z30/(League!$Y$3*AA30/100)*100))</f>
        <v>100.25724672884466</v>
      </c>
      <c r="AD30" s="20">
        <f>IF(OR((C30+D30)="",(C30+D30)=0),"",(C30/(C30+D30)))</f>
        <v>0.51851851851851849</v>
      </c>
      <c r="AE30" s="17">
        <f>IF(OR(F30="",F30=0),"",(M30/F30))</f>
        <v>6.59375</v>
      </c>
      <c r="AF30" s="34">
        <f>IF(OR(M30="",M30=0,AA30="",AA30=0),"",(Q30/M30*9)/(AA30/100))</f>
        <v>5.0522247273731189</v>
      </c>
      <c r="AG30" s="34">
        <f>(1.19*AE30-0.056*AF30+1.71)*League!$AC$4</f>
        <v>9.3758274079597275</v>
      </c>
      <c r="AH30" s="17">
        <f>IF(OR(League!$M$3="",League!$M$3=0),"",(League!$P$3/League!$M$3*9))</f>
        <v>4.3072548839768867</v>
      </c>
      <c r="AI30" s="17">
        <f>IF(OR(F30="",F30=0,League!$G$3="",League!$G$3=0,League!$M$5="",League!$M$5=0,AA30="",AA30=0),"",((Q30/F30/(AA30/100)+(League!$M$3/League!$G$3-M30/F30)*(League!$P$5/League!$M$5))/(League!$M$3/League!$G$3)*9))</f>
        <v>4.772373323187769</v>
      </c>
      <c r="AJ30" s="17">
        <f>IF(AH30="","",((AH30+AI30)^0.287))</f>
        <v>1.883499610657418</v>
      </c>
      <c r="AK30" s="21">
        <f>IF(AM30="","",(AM30*F30))</f>
        <v>14.459668413743358</v>
      </c>
      <c r="AL30" s="21">
        <f>IF(AK30="","",(F30-AK30))</f>
        <v>17.540331586256642</v>
      </c>
      <c r="AM30" s="20">
        <f>IF(AJ30="","",(AH30^AJ30/(AH30^AJ30+AI30^AJ30)))</f>
        <v>0.45186463792947995</v>
      </c>
      <c r="AN30" s="38">
        <f>IF(OR(AG30="",AG30=0),"",IF(((M30/AG30)&gt;=F30),AK30,IF(OR(AM30=1,(AK30-(F30-M30/AG30)*League!$AA$5)&gt;=AK30),AK30,IF(OR(AM30=0,(AK30-(F30-M30/AG30)*League!$AA$5)&lt;=0),0,(AK30-(F30-M30/AG30)*League!$AA$5)))))</f>
        <v>9.6807328949701379</v>
      </c>
      <c r="AO30" s="38">
        <f>IF(OR(AG30="",AG30=0),"",IF((W30/AG30)&gt;=F30,AL30,(M30/AG30-AN30)))</f>
        <v>12.823947579509252</v>
      </c>
      <c r="AP30" s="20">
        <f>IF(OR(AN30="",(AN30+AO30)=0),"",(AN30/(AN30+AO30)))</f>
        <v>0.43016531187582152</v>
      </c>
      <c r="AQ30" s="22">
        <f>IF(AN30="","",((C30-AN30)+(AO30-D30)))</f>
        <v>4.1432146845391138</v>
      </c>
    </row>
    <row r="31" spans="1:43" x14ac:dyDescent="0.3">
      <c r="A31" s="15" t="s">
        <v>33</v>
      </c>
      <c r="B31" s="16" t="s">
        <v>34</v>
      </c>
      <c r="C31" s="16">
        <v>18</v>
      </c>
      <c r="D31" s="16">
        <v>6</v>
      </c>
      <c r="E31" s="17">
        <f>IF(OR(M31="",M31=0),"",(R31/M31*9))</f>
        <v>2.6479859894921192</v>
      </c>
      <c r="F31" s="16">
        <v>30</v>
      </c>
      <c r="G31" s="16">
        <v>30</v>
      </c>
      <c r="H31" s="16">
        <v>3</v>
      </c>
      <c r="I31" s="16">
        <v>3</v>
      </c>
      <c r="J31" s="16">
        <v>0</v>
      </c>
      <c r="K31" s="16">
        <v>0</v>
      </c>
      <c r="L31" s="16">
        <v>0</v>
      </c>
      <c r="M31" s="18">
        <f>IF(N31="","",(INT(N31)+(N31-INT(N31))*10/3))</f>
        <v>190.33333333333331</v>
      </c>
      <c r="N31" s="16">
        <v>190.1</v>
      </c>
      <c r="O31" s="16">
        <v>769</v>
      </c>
      <c r="P31" s="16">
        <v>193</v>
      </c>
      <c r="Q31" s="16">
        <v>60</v>
      </c>
      <c r="R31" s="16">
        <v>56</v>
      </c>
      <c r="S31" s="16">
        <v>14</v>
      </c>
      <c r="T31" s="16">
        <v>29</v>
      </c>
      <c r="U31" s="16">
        <v>0</v>
      </c>
      <c r="V31" s="16">
        <v>0</v>
      </c>
      <c r="W31" s="16">
        <v>1</v>
      </c>
      <c r="X31" s="16">
        <v>0</v>
      </c>
      <c r="Y31" s="16">
        <v>117</v>
      </c>
      <c r="Z31" s="17">
        <f>IF(OR(M31="",M31=0),"",((13*S31+3*(T31+V31)-2*Y31)/M31+League!$Y$2))</f>
        <v>3.2317422225954742</v>
      </c>
      <c r="AA31" s="16">
        <f>VLOOKUP(B31,BPF!$A$2:$B$31,2,FALSE)</f>
        <v>97</v>
      </c>
      <c r="AB31" s="19">
        <f>IF(OR(E31="",E31=0),"",(E31/(League!$E$3*AA31/100)*100))</f>
        <v>68.363843809093552</v>
      </c>
      <c r="AC31" s="19">
        <f>IF(OR(Z31="",Z31=0),"",(Z31/(League!$Y$3*AA31/100)*100))</f>
        <v>84.011319234099844</v>
      </c>
      <c r="AD31" s="20">
        <f>IF(OR((C31+D31)="",(C31+D31)=0),"",(C31/(C31+D31)))</f>
        <v>0.75</v>
      </c>
      <c r="AE31" s="17">
        <f>IF(OR(F31="",F31=0),"",(M31/F31))</f>
        <v>6.3444444444444441</v>
      </c>
      <c r="AF31" s="34">
        <f>IF(OR(M31="",M31=0,AA31="",AA31=0),"",(Q31/M31*9)/(AA31/100))</f>
        <v>2.9248740679220764</v>
      </c>
      <c r="AG31" s="34">
        <f>(1.19*AE31-0.056*AF31+1.71)*League!$AC$4</f>
        <v>9.1963290360363334</v>
      </c>
      <c r="AH31" s="17">
        <f>IF(OR(League!$M$3="",League!$M$3=0),"",(League!$P$3/League!$M$3*9))</f>
        <v>4.3072548839768867</v>
      </c>
      <c r="AI31" s="17">
        <f>IF(OR(F31="",F31=0,League!$G$3="",League!$G$3=0,League!$M$5="",League!$M$5=0,AA31="",AA31=0),"",((Q31/F31/(AA31/100)+(League!$M$3/League!$G$3-M31/F31)*(League!$P$5/League!$M$5))/(League!$M$3/League!$G$3)*9))</f>
        <v>3.2376763277925393</v>
      </c>
      <c r="AJ31" s="17">
        <f>IF(AH31="","",((AH31+AI31)^0.287))</f>
        <v>1.7860230795629175</v>
      </c>
      <c r="AK31" s="21">
        <f>IF(AM31="","",(AM31*F31))</f>
        <v>18.742866203292042</v>
      </c>
      <c r="AL31" s="21">
        <f>IF(AK31="","",(F31-AK31))</f>
        <v>11.257133796707958</v>
      </c>
      <c r="AM31" s="20">
        <f>IF(AJ31="","",(AH31^AJ31/(AH31^AJ31+AI31^AJ31)))</f>
        <v>0.62476220677640137</v>
      </c>
      <c r="AN31" s="38">
        <f>IF(OR(AG31="",AG31=0),"",IF(((M31/AG31)&gt;=F31),AK31,IF(OR(AM31=1,(AK31-(F31-M31/AG31)*League!$AA$5)&gt;=AK31),AK31,IF(OR(AM31=0,(AK31-(F31-M31/AG31)*League!$AA$5)&lt;=0),0,(AK31-(F31-M31/AG31)*League!$AA$5)))))</f>
        <v>14.060554872002101</v>
      </c>
      <c r="AO31" s="38">
        <f>IF(OR(AG31="",AG31=0),"",IF((W31/AG31)&gt;=F31,AL31,(M31/AG31-AN31)))</f>
        <v>6.6361092629479899</v>
      </c>
      <c r="AP31" s="20">
        <f>IF(OR(AN31="",(AN31+AO31)=0),"",(AN31/(AN31+AO31)))</f>
        <v>0.679363339923862</v>
      </c>
      <c r="AQ31" s="22">
        <f>IF(AN31="","",((C31-AN31)+(AO31-D31)))</f>
        <v>4.5755543909458893</v>
      </c>
    </row>
    <row r="32" spans="1:43" x14ac:dyDescent="0.3">
      <c r="A32" s="15" t="s">
        <v>61</v>
      </c>
      <c r="B32" s="16" t="s">
        <v>28</v>
      </c>
      <c r="C32" s="16">
        <v>13</v>
      </c>
      <c r="D32" s="16">
        <v>8</v>
      </c>
      <c r="E32" s="17">
        <f>IF(OR(M32="",M32=0),"",(R32/M32*9))</f>
        <v>4.430501930501932</v>
      </c>
      <c r="F32" s="16">
        <v>29</v>
      </c>
      <c r="G32" s="16">
        <v>29</v>
      </c>
      <c r="H32" s="16">
        <v>1</v>
      </c>
      <c r="I32" s="16">
        <v>0</v>
      </c>
      <c r="J32" s="16">
        <v>0</v>
      </c>
      <c r="K32" s="16">
        <v>0</v>
      </c>
      <c r="L32" s="16">
        <v>0</v>
      </c>
      <c r="M32" s="18">
        <f>IF(N32="","",(INT(N32)+(N32-INT(N32))*10/3))</f>
        <v>172.66666666666663</v>
      </c>
      <c r="N32" s="16">
        <v>172.2</v>
      </c>
      <c r="O32" s="16">
        <v>722</v>
      </c>
      <c r="P32" s="16">
        <v>183</v>
      </c>
      <c r="Q32" s="16">
        <v>87</v>
      </c>
      <c r="R32" s="16">
        <v>85</v>
      </c>
      <c r="S32" s="16">
        <v>18</v>
      </c>
      <c r="T32" s="16">
        <v>42</v>
      </c>
      <c r="U32" s="16">
        <v>4</v>
      </c>
      <c r="V32" s="16">
        <v>3</v>
      </c>
      <c r="W32" s="16">
        <v>6</v>
      </c>
      <c r="X32" s="16">
        <v>1</v>
      </c>
      <c r="Y32" s="16">
        <v>139</v>
      </c>
      <c r="Z32" s="17">
        <f>IF(OR(M32="",M32=0),"",((13*S32+3*(T32+V32)-2*Y32)/M32+League!$Y$2))</f>
        <v>3.5748813336855485</v>
      </c>
      <c r="AA32" s="16">
        <f>VLOOKUP(B32,BPF!$A$2:$B$31,2,FALSE)</f>
        <v>102</v>
      </c>
      <c r="AB32" s="19">
        <f>IF(OR(E32="",E32=0),"",(E32/(League!$E$3*AA32/100)*100))</f>
        <v>108.77655063701582</v>
      </c>
      <c r="AC32" s="19">
        <f>IF(OR(Z32="",Z32=0),"",(Z32/(League!$Y$3*AA32/100)*100))</f>
        <v>88.375988582147613</v>
      </c>
      <c r="AD32" s="20">
        <f>IF(OR((C32+D32)="",(C32+D32)=0),"",(C32/(C32+D32)))</f>
        <v>0.61904761904761907</v>
      </c>
      <c r="AE32" s="17">
        <f>IF(OR(F32="",F32=0),"",(M32/F32))</f>
        <v>5.9540229885057459</v>
      </c>
      <c r="AF32" s="34">
        <f>IF(OR(M32="",M32=0,AA32="",AA32=0),"",(Q32/M32*9)/(AA32/100))</f>
        <v>4.4458323870088581</v>
      </c>
      <c r="AG32" s="34">
        <f>(1.19*AE32-0.056*AF32+1.71)*League!$AC$4</f>
        <v>8.6404956704456897</v>
      </c>
      <c r="AH32" s="17">
        <f>IF(OR(League!$M$3="",League!$M$3=0),"",(League!$P$3/League!$M$3*9))</f>
        <v>4.3072548839768867</v>
      </c>
      <c r="AI32" s="17">
        <f>IF(OR(F32="",F32=0,League!$G$3="",League!$G$3=0,League!$M$5="",League!$M$5=0,AA32="",AA32=0),"",((Q32/F32/(AA32/100)+(League!$M$3/League!$G$3-M32/F32)*(League!$P$5/League!$M$5))/(League!$M$3/League!$G$3)*9))</f>
        <v>4.2942421959574562</v>
      </c>
      <c r="AJ32" s="17">
        <f>IF(AH32="","",((AH32+AI32)^0.287))</f>
        <v>1.8544825505922484</v>
      </c>
      <c r="AK32" s="21">
        <f>IF(AM32="","",(AM32*F32))</f>
        <v>14.540680184766938</v>
      </c>
      <c r="AL32" s="21">
        <f>IF(AK32="","",(F32-AK32))</f>
        <v>14.459319815233062</v>
      </c>
      <c r="AM32" s="20">
        <f>IF(AJ32="","",(AH32^AJ32/(AH32^AJ32+AI32^AJ32)))</f>
        <v>0.50140276499196335</v>
      </c>
      <c r="AN32" s="38">
        <f>IF(OR(AG32="",AG32=0),"",IF(((M32/AG32)&gt;=F32),AK32,IF(OR(AM32=1,(AK32-(F32-M32/AG32)*League!$AA$5)&gt;=AK32),AK32,IF(OR(AM32=0,(AK32-(F32-M32/AG32)*League!$AA$5)&lt;=0),0,(AK32-(F32-M32/AG32)*League!$AA$5)))))</f>
        <v>10.002692043014619</v>
      </c>
      <c r="AO32" s="38">
        <f>IF(OR(AG32="",AG32=0),"",IF((W32/AG32)&gt;=F32,AL32,(M32/AG32-AN32)))</f>
        <v>9.9807294240272384</v>
      </c>
      <c r="AP32" s="20">
        <f>IF(OR(AN32="",(AN32+AO32)=0),"",(AN32/(AN32+AO32)))</f>
        <v>0.50054952098727445</v>
      </c>
      <c r="AQ32" s="22">
        <f>IF(AN32="","",((C32-AN32)+(AO32-D32)))</f>
        <v>4.9780373810126193</v>
      </c>
    </row>
    <row r="33" spans="1:43" x14ac:dyDescent="0.3">
      <c r="A33" s="15" t="s">
        <v>52</v>
      </c>
      <c r="B33" s="16" t="s">
        <v>53</v>
      </c>
      <c r="C33" s="16">
        <v>16</v>
      </c>
      <c r="D33" s="16">
        <v>7</v>
      </c>
      <c r="E33" s="17">
        <f>IF(OR(M33="",M33=0),"",(R33/M33*9))</f>
        <v>3.7075928917609047</v>
      </c>
      <c r="F33" s="16">
        <v>33</v>
      </c>
      <c r="G33" s="16">
        <v>33</v>
      </c>
      <c r="H33" s="16">
        <v>1</v>
      </c>
      <c r="I33" s="16">
        <v>0</v>
      </c>
      <c r="J33" s="16">
        <v>0</v>
      </c>
      <c r="K33" s="16">
        <v>0</v>
      </c>
      <c r="L33" s="16">
        <v>0</v>
      </c>
      <c r="M33" s="18">
        <f>IF(N33="","",(INT(N33)+(N33-INT(N33))*10/3))</f>
        <v>206.33333333333331</v>
      </c>
      <c r="N33" s="16">
        <v>206.1</v>
      </c>
      <c r="O33" s="16">
        <v>845</v>
      </c>
      <c r="P33" s="16">
        <v>184</v>
      </c>
      <c r="Q33" s="16">
        <v>87</v>
      </c>
      <c r="R33" s="16">
        <v>85</v>
      </c>
      <c r="S33" s="16">
        <v>33</v>
      </c>
      <c r="T33" s="16">
        <v>68</v>
      </c>
      <c r="U33" s="16">
        <v>2</v>
      </c>
      <c r="V33" s="16">
        <v>3</v>
      </c>
      <c r="W33" s="16">
        <v>6</v>
      </c>
      <c r="X33" s="16">
        <v>1</v>
      </c>
      <c r="Y33" s="16">
        <v>179</v>
      </c>
      <c r="Z33" s="17">
        <f>IF(OR(M33="",M33=0),"",((13*S33+3*(T33+V33)-2*Y33)/M33+League!$Y$2))</f>
        <v>4.4242678769331576</v>
      </c>
      <c r="AA33" s="16">
        <f>VLOOKUP(B33,BPF!$A$2:$B$31,2,FALSE)</f>
        <v>103</v>
      </c>
      <c r="AB33" s="19">
        <f>IF(OR(E33="",E33=0),"",(E33/(League!$E$3*AA33/100)*100))</f>
        <v>90.144106991504685</v>
      </c>
      <c r="AC33" s="19">
        <f>IF(OR(Z33="",Z33=0),"",(Z33/(League!$Y$3*AA33/100)*100))</f>
        <v>108.31210996336426</v>
      </c>
      <c r="AD33" s="20">
        <f>IF(OR((C33+D33)="",(C33+D33)=0),"",(C33/(C33+D33)))</f>
        <v>0.69565217391304346</v>
      </c>
      <c r="AE33" s="17">
        <f>IF(OR(F33="",F33=0),"",(M33/F33))</f>
        <v>6.2525252525252517</v>
      </c>
      <c r="AF33" s="34">
        <f>IF(OR(M33="",M33=0,AA33="",AA33=0),"",(Q33/M33*9)/(AA33/100))</f>
        <v>3.6843013316184892</v>
      </c>
      <c r="AG33" s="34">
        <f>(1.19*AE33-0.056*AF33+1.71)*League!$AC$4</f>
        <v>9.0427433014727754</v>
      </c>
      <c r="AH33" s="17">
        <f>IF(OR(League!$M$3="",League!$M$3=0),"",(League!$P$3/League!$M$3*9))</f>
        <v>4.3072548839768867</v>
      </c>
      <c r="AI33" s="17">
        <f>IF(OR(F33="",F33=0,League!$G$3="",League!$G$3=0,League!$M$5="",League!$M$5=0,AA33="",AA33=0),"",((Q33/F33/(AA33/100)+(League!$M$3/League!$G$3-M33/F33)*(League!$P$5/League!$M$5))/(League!$M$3/League!$G$3)*9))</f>
        <v>3.778219986671898</v>
      </c>
      <c r="AJ33" s="17">
        <f>IF(AH33="","",((AH33+AI33)^0.287))</f>
        <v>1.8218452623742361</v>
      </c>
      <c r="AK33" s="21">
        <f>IF(AM33="","",(AM33*F33))</f>
        <v>18.460374420699644</v>
      </c>
      <c r="AL33" s="21">
        <f>IF(AK33="","",(F33-AK33))</f>
        <v>14.539625579300356</v>
      </c>
      <c r="AM33" s="20">
        <f>IF(AJ33="","",(AH33^AJ33/(AH33^AJ33+AI33^AJ33)))</f>
        <v>0.55940528547574675</v>
      </c>
      <c r="AN33" s="38">
        <f>IF(OR(AG33="",AG33=0),"",IF(((M33/AG33)&gt;=F33),AK33,IF(OR(AM33=1,(AK33-(F33-M33/AG33)*League!$AA$5)&gt;=AK33),AK33,IF(OR(AM33=0,(AK33-(F33-M33/AG33)*League!$AA$5)&lt;=0),0,(AK33-(F33-M33/AG33)*League!$AA$5)))))</f>
        <v>13.335615170857364</v>
      </c>
      <c r="AO33" s="38">
        <f>IF(OR(AG33="",AG33=0),"",IF((W33/AG33)&gt;=F33,AL33,(M33/AG33-AN33)))</f>
        <v>9.4819443301104638</v>
      </c>
      <c r="AP33" s="20">
        <f>IF(OR(AN33="",(AN33+AO33)=0),"",(AN33/(AN33+AO33)))</f>
        <v>0.58444528961529485</v>
      </c>
      <c r="AQ33" s="22">
        <f>IF(AN33="","",((C33-AN33)+(AO33-D33)))</f>
        <v>5.1463291592530993</v>
      </c>
    </row>
    <row r="34" spans="1:43" x14ac:dyDescent="0.3">
      <c r="A34" s="15" t="s">
        <v>72</v>
      </c>
      <c r="B34" s="16" t="s">
        <v>39</v>
      </c>
      <c r="C34" s="16">
        <v>11</v>
      </c>
      <c r="D34" s="16">
        <v>10</v>
      </c>
      <c r="E34" s="17">
        <f>IF(OR(M34="",M34=0),"",(R34/M34*9))</f>
        <v>5.2427184466019421</v>
      </c>
      <c r="F34" s="16">
        <v>31</v>
      </c>
      <c r="G34" s="16">
        <v>31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8">
        <f>IF(N34="","",(INT(N34)+(N34-INT(N34))*10/3))</f>
        <v>171.66666666666663</v>
      </c>
      <c r="N34" s="16">
        <v>171.2</v>
      </c>
      <c r="O34" s="16">
        <v>729</v>
      </c>
      <c r="P34" s="16">
        <v>184</v>
      </c>
      <c r="Q34" s="16">
        <v>103</v>
      </c>
      <c r="R34" s="16">
        <v>100</v>
      </c>
      <c r="S34" s="16">
        <v>24</v>
      </c>
      <c r="T34" s="16">
        <v>50</v>
      </c>
      <c r="U34" s="16">
        <v>0</v>
      </c>
      <c r="V34" s="16">
        <v>4</v>
      </c>
      <c r="W34" s="16">
        <v>7</v>
      </c>
      <c r="X34" s="16">
        <v>2</v>
      </c>
      <c r="Y34" s="16">
        <v>133</v>
      </c>
      <c r="Z34" s="17">
        <f>IF(OR(M34="",M34=0),"",((13*S34+3*(T34+V34)-2*Y34)/M34+League!$Y$2))</f>
        <v>4.2595047920954148</v>
      </c>
      <c r="AA34" s="16">
        <f>VLOOKUP(B34,BPF!$A$2:$B$31,2,FALSE)</f>
        <v>95</v>
      </c>
      <c r="AB34" s="19">
        <f>IF(OR(E34="",E34=0),"",(E34/(League!$E$3*AA34/100)*100))</f>
        <v>138.20235845880228</v>
      </c>
      <c r="AC34" s="19">
        <f>IF(OR(Z34="",Z34=0),"",(Z34/(League!$Y$3*AA34/100)*100))</f>
        <v>113.05983110285165</v>
      </c>
      <c r="AD34" s="20">
        <f>IF(OR((C34+D34)="",(C34+D34)=0),"",(C34/(C34+D34)))</f>
        <v>0.52380952380952384</v>
      </c>
      <c r="AE34" s="17">
        <f>IF(OR(F34="",F34=0),"",(M34/F34))</f>
        <v>5.5376344086021492</v>
      </c>
      <c r="AF34" s="34">
        <f>IF(OR(M34="",M34=0,AA34="",AA34=0),"",(Q34/M34*9)/(AA34/100))</f>
        <v>5.6842105263157903</v>
      </c>
      <c r="AG34" s="34">
        <f>(1.19*AE34-0.056*AF34+1.71)*League!$AC$4</f>
        <v>8.0694197853644773</v>
      </c>
      <c r="AH34" s="17">
        <f>IF(OR(League!$M$3="",League!$M$3=0),"",(League!$P$3/League!$M$3*9))</f>
        <v>4.3072548839768867</v>
      </c>
      <c r="AI34" s="17">
        <f>IF(OR(F34="",F34=0,League!$G$3="",League!$G$3=0,League!$M$5="",League!$M$5=0,AA34="",AA34=0),"",((Q34/F34/(AA34/100)+(League!$M$3/League!$G$3-M34/F34)*(League!$P$5/League!$M$5))/(League!$M$3/League!$G$3)*9))</f>
        <v>5.0381180502568599</v>
      </c>
      <c r="AJ34" s="17">
        <f>IF(AH34="","",((AH34+AI34)^0.287))</f>
        <v>1.8991586014039417</v>
      </c>
      <c r="AK34" s="21">
        <f>IF(AM34="","",(AM34*F34))</f>
        <v>13.210028709513692</v>
      </c>
      <c r="AL34" s="21">
        <f>IF(AK34="","",(F34-AK34))</f>
        <v>17.789971290486307</v>
      </c>
      <c r="AM34" s="20">
        <f>IF(AJ34="","",(AH34^AJ34/(AH34^AJ34+AI34^AJ34)))</f>
        <v>0.42612995837140943</v>
      </c>
      <c r="AN34" s="38">
        <f>IF(OR(AG34="",AG34=0),"",IF(((M34/AG34)&gt;=F34),AK34,IF(OR(AM34=1,(AK34-(F34-M34/AG34)*League!$AA$5)&gt;=AK34),AK34,IF(OR(AM34=0,(AK34-(F34-M34/AG34)*League!$AA$5)&lt;=0),0,(AK34-(F34-M34/AG34)*League!$AA$5)))))</f>
        <v>8.314857801921411</v>
      </c>
      <c r="AO34" s="38">
        <f>IF(OR(AG34="",AG34=0),"",IF((W34/AG34)&gt;=F34,AL34,(M34/AG34-AN34)))</f>
        <v>12.958873300532671</v>
      </c>
      <c r="AP34" s="20">
        <f>IF(OR(AN34="",(AN34+AO34)=0),"",(AN34/(AN34+AO34)))</f>
        <v>0.39085094015136024</v>
      </c>
      <c r="AQ34" s="22">
        <f>IF(AN34="","",((C34-AN34)+(AO34-D34)))</f>
        <v>5.6440154986112603</v>
      </c>
    </row>
    <row r="35" spans="1:43" x14ac:dyDescent="0.3">
      <c r="A35" s="15" t="s">
        <v>45</v>
      </c>
      <c r="B35" s="16" t="s">
        <v>46</v>
      </c>
      <c r="C35" s="16">
        <v>17</v>
      </c>
      <c r="D35" s="16">
        <v>7</v>
      </c>
      <c r="E35" s="17">
        <f>IF(OR(M35="",M35=0),"",(R35/M35*9))</f>
        <v>3.390894819466248</v>
      </c>
      <c r="F35" s="16">
        <v>33</v>
      </c>
      <c r="G35" s="16">
        <v>33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8">
        <f>IF(N35="","",(INT(N35)+(N35-INT(N35))*10/3))</f>
        <v>212.33333333333331</v>
      </c>
      <c r="N35" s="16">
        <v>212.1</v>
      </c>
      <c r="O35" s="16">
        <v>913</v>
      </c>
      <c r="P35" s="16">
        <v>200</v>
      </c>
      <c r="Q35" s="16">
        <v>93</v>
      </c>
      <c r="R35" s="16">
        <v>80</v>
      </c>
      <c r="S35" s="16">
        <v>15</v>
      </c>
      <c r="T35" s="16">
        <v>85</v>
      </c>
      <c r="U35" s="16">
        <v>3</v>
      </c>
      <c r="V35" s="16">
        <v>8</v>
      </c>
      <c r="W35" s="16">
        <v>14</v>
      </c>
      <c r="X35" s="16">
        <v>2</v>
      </c>
      <c r="Y35" s="16">
        <v>188</v>
      </c>
      <c r="Z35" s="17">
        <f>IF(OR(M35="",M35=0),"",((13*S35+3*(T35+V35)-2*Y35)/M35+League!$Y$2))</f>
        <v>3.509392768196983</v>
      </c>
      <c r="AA35" s="16">
        <f>VLOOKUP(B35,BPF!$A$2:$B$31,2,FALSE)</f>
        <v>96</v>
      </c>
      <c r="AB35" s="19">
        <f>IF(OR(E35="",E35=0),"",(E35/(League!$E$3*AA35/100)*100))</f>
        <v>88.455656561968851</v>
      </c>
      <c r="AC35" s="19">
        <f>IF(OR(Z35="",Z35=0),"",(Z35/(League!$Y$3*AA35/100)*100))</f>
        <v>92.179334893752824</v>
      </c>
      <c r="AD35" s="20">
        <f>IF(OR((C35+D35)="",(C35+D35)=0),"",(C35/(C35+D35)))</f>
        <v>0.70833333333333337</v>
      </c>
      <c r="AE35" s="17">
        <f>IF(OR(F35="",F35=0),"",(M35/F35))</f>
        <v>6.4343434343434334</v>
      </c>
      <c r="AF35" s="17">
        <f>IF(OR(M35="",M35=0,AA35="",AA35=0),"",(Q35/M35*9)/(AA35/100))</f>
        <v>4.1061616954474101</v>
      </c>
      <c r="AG35" s="34">
        <f>(1.19*AE35-0.056*AF35+1.71)*League!$AC$4</f>
        <v>9.2376066216250479</v>
      </c>
      <c r="AH35" s="17">
        <f>IF(OR(League!$M$3="",League!$M$3=0),"",(League!$P$3/League!$M$3*9))</f>
        <v>4.3072548839768867</v>
      </c>
      <c r="AI35" s="17">
        <f>IF(OR(F35="",F35=0,League!$G$3="",League!$G$3=0,League!$M$5="",League!$M$5=0,AA35="",AA35=0),"",((Q35/F35/(AA35/100)+(League!$M$3/League!$G$3-M35/F35)*(League!$P$5/League!$M$5))/(League!$M$3/League!$G$3)*9))</f>
        <v>4.0746610896300508</v>
      </c>
      <c r="AJ35" s="17">
        <f>IF(AH35="","",((AH35+AI35)^0.287))</f>
        <v>1.8407700005188061</v>
      </c>
      <c r="AK35" s="21">
        <f>IF(AM35="","",(AM35*F35))</f>
        <v>17.342310313238603</v>
      </c>
      <c r="AL35" s="21">
        <f>IF(AK35="","",(F35-AK35))</f>
        <v>15.657689686761397</v>
      </c>
      <c r="AM35" s="20">
        <f>IF(AJ35="","",(AH35^AJ35/(AH35^AJ35+AI35^AJ35)))</f>
        <v>0.52552455494662431</v>
      </c>
      <c r="AN35" s="38">
        <f>IF(OR(AG35="",AG35=0),"",IF(((M35/AG35)&gt;=F35),AK35,IF(OR(AM35=1,(AK35-(F35-M35/AG35)*League!$AA$5)&gt;=AK35),AK35,IF(OR(AM35=0,(AK35-(F35-M35/AG35)*League!$AA$5)&lt;=0),0,(AK35-(F35-M35/AG35)*League!$AA$5)))))</f>
        <v>12.3022012224801</v>
      </c>
      <c r="AO35" s="38">
        <f>IF(OR(AG35="",AG35=0),"",IF((W35/AG35)&gt;=F35,AL35,(M35/AG35-AN35)))</f>
        <v>10.683550610279841</v>
      </c>
      <c r="AP35" s="20">
        <f>IF(OR(AN35="",(AN35+AO35)=0),"",(AN35/(AN35+AO35)))</f>
        <v>0.5352098687912682</v>
      </c>
      <c r="AQ35" s="22">
        <f>IF(AN35="","",((C35-AN35)+(AO35-D35)))</f>
        <v>8.3813493877997409</v>
      </c>
    </row>
    <row r="36" spans="1:43" x14ac:dyDescent="0.3">
      <c r="A36" s="24" t="s">
        <v>35</v>
      </c>
      <c r="B36" s="25" t="s">
        <v>28</v>
      </c>
      <c r="C36" s="25">
        <v>21</v>
      </c>
      <c r="D36" s="25">
        <v>3</v>
      </c>
      <c r="E36" s="26">
        <f>IF(OR(M36="",M36=0),"",(R36/M36*9))</f>
        <v>2.8973561430793162</v>
      </c>
      <c r="F36" s="25">
        <v>32</v>
      </c>
      <c r="G36" s="25">
        <v>32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7">
        <f>IF(N36="","",(INT(N36)+(N36-INT(N36))*10/3))</f>
        <v>214.33333333333331</v>
      </c>
      <c r="N36" s="25">
        <v>214.1</v>
      </c>
      <c r="O36" s="25">
        <v>836</v>
      </c>
      <c r="P36" s="25">
        <v>152</v>
      </c>
      <c r="Q36" s="25">
        <v>73</v>
      </c>
      <c r="R36" s="25">
        <v>69</v>
      </c>
      <c r="S36" s="25">
        <v>18</v>
      </c>
      <c r="T36" s="25">
        <v>56</v>
      </c>
      <c r="U36" s="25">
        <v>0</v>
      </c>
      <c r="V36" s="25">
        <v>4</v>
      </c>
      <c r="W36" s="25">
        <v>6</v>
      </c>
      <c r="X36" s="25">
        <v>1</v>
      </c>
      <c r="Y36" s="25">
        <v>240</v>
      </c>
      <c r="Z36" s="26">
        <f>IF(OR(M36="",M36=0),"",((13*S36+3*(T36+V36)-2*Y36)/M36+League!$Y$2))</f>
        <v>2.7399227358964682</v>
      </c>
      <c r="AA36" s="25">
        <f>VLOOKUP(B36,BPF!$A$2:$B$31,2,FALSE)</f>
        <v>102</v>
      </c>
      <c r="AB36" s="28">
        <f>IF(OR(E36="",E36=0),"",(E36/(League!$E$3*AA36/100)*100))</f>
        <v>71.135147248526536</v>
      </c>
      <c r="AC36" s="28">
        <f>IF(OR(Z36="",Z36=0),"",(Z36/(League!$Y$3*AA36/100)*100))</f>
        <v>67.734662446519181</v>
      </c>
      <c r="AD36" s="29">
        <f>IF(OR((C36+D36)="",(C36+D36)=0),"",(C36/(C36+D36)))</f>
        <v>0.875</v>
      </c>
      <c r="AE36" s="26">
        <f>IF(OR(F36="",F36=0),"",(M36/F36))</f>
        <v>6.6979166666666661</v>
      </c>
      <c r="AF36" s="26">
        <f>IF(OR(M36="",M36=0,AA36="",AA36=0),"",(Q36/M36*9)/(AA36/100))</f>
        <v>3.0052145274906232</v>
      </c>
      <c r="AG36" s="26">
        <f>(1.19*AE36-0.056*AF36+1.71)*League!$AC$4</f>
        <v>9.6170474299609214</v>
      </c>
      <c r="AH36" s="26">
        <f>IF(OR(League!$M$3="",League!$M$3=0),"",(League!$P$3/League!$M$3*9))</f>
        <v>4.3072548839768867</v>
      </c>
      <c r="AI36" s="26">
        <f>IF(OR(F36="",F36=0,League!$G$3="",League!$G$3=0,League!$M$5="",League!$M$5=0,AA36="",AA36=0),"",((Q36/F36/(AA36/100)+(League!$M$3/League!$G$3-M36/F36)*(League!$P$5/League!$M$5))/(League!$M$3/League!$G$3)*9))</f>
        <v>3.2555200581262511</v>
      </c>
      <c r="AJ36" s="26">
        <f>IF(AH36="","",((AH36+AI36)^0.287))</f>
        <v>1.7872343287732977</v>
      </c>
      <c r="AK36" s="30">
        <f>IF(AM36="","",(AM36*F36))</f>
        <v>19.921210315706794</v>
      </c>
      <c r="AL36" s="30">
        <f>IF(AK36="","",(F36-AK36))</f>
        <v>12.078789684293206</v>
      </c>
      <c r="AM36" s="29">
        <f>IF(AJ36="","",(AH36^AJ36/(AH36^AJ36+AI36^AJ36)))</f>
        <v>0.62253782236583732</v>
      </c>
      <c r="AN36" s="30">
        <f>IF(OR(AG36="",AG36=0),"",IF(((M36/AG36)&gt;=F36),AK36,IF(OR(AM36=1,(AK36-(F36-M36/AG36)*League!$AA$5)&gt;=AK36),AK36,IF(OR(AM36=0,(AK36-(F36-M36/AG36)*League!$AA$5)&lt;=0),0,(AK36-(F36-M36/AG36)*League!$AA$5)))))</f>
        <v>15.032623218473224</v>
      </c>
      <c r="AO36" s="30">
        <f>IF(OR(AG36="",AG36=0),"",IF((W36/AG36)&gt;=F36,AL36,(M36/AG36-AN36)))</f>
        <v>7.254189329170023</v>
      </c>
      <c r="AP36" s="29">
        <f>IF(OR(AN36="",(AN36+AO36)=0),"",(AN36/(AN36+AO36)))</f>
        <v>0.67450754504878141</v>
      </c>
      <c r="AQ36" s="31">
        <f>IF(AN36="","",((C36-AN36)+(AO36-D36)))</f>
        <v>10.221566110696799</v>
      </c>
    </row>
    <row r="37" spans="1:43" x14ac:dyDescent="0.3">
      <c r="AK37" s="14"/>
      <c r="AL37" s="14"/>
      <c r="AM37" s="14"/>
      <c r="AN37" s="9"/>
      <c r="AO37" s="9"/>
    </row>
    <row r="38" spans="1:43" x14ac:dyDescent="0.3">
      <c r="E38" s="10"/>
      <c r="M38" s="11"/>
      <c r="Z38" s="10"/>
      <c r="AB38" s="12"/>
      <c r="AC38" s="12"/>
      <c r="AD38" s="10"/>
      <c r="AE38" s="14"/>
      <c r="AF38" s="14"/>
      <c r="AG38" s="14"/>
      <c r="AH38" s="14"/>
      <c r="AI38" s="14"/>
      <c r="AJ38" s="13"/>
      <c r="AK38" s="14"/>
      <c r="AL38" s="14"/>
      <c r="AM38" s="13"/>
    </row>
    <row r="39" spans="1:43" x14ac:dyDescent="0.3">
      <c r="E39" s="10"/>
      <c r="M39" s="11"/>
      <c r="Z39" s="10"/>
      <c r="AB39" s="12"/>
      <c r="AC39" s="12"/>
      <c r="AD39" s="10"/>
      <c r="AE39" s="14"/>
      <c r="AF39" s="14"/>
      <c r="AG39" s="14"/>
      <c r="AH39" s="14"/>
      <c r="AI39" s="14"/>
      <c r="AJ39" s="13"/>
      <c r="AK39" s="14"/>
      <c r="AL39" s="14"/>
      <c r="AM39" s="13"/>
    </row>
    <row r="40" spans="1:43" x14ac:dyDescent="0.3">
      <c r="E40" s="10"/>
      <c r="M40" s="11"/>
      <c r="Z40" s="10"/>
      <c r="AB40" s="10"/>
      <c r="AC40" s="10"/>
      <c r="AD40" s="13"/>
      <c r="AE40" s="13"/>
      <c r="AF40" s="13"/>
      <c r="AG40" s="13"/>
      <c r="AH40" s="13"/>
      <c r="AK40" s="13"/>
    </row>
    <row r="41" spans="1:43" x14ac:dyDescent="0.3">
      <c r="E41" s="10"/>
      <c r="M41" s="11"/>
      <c r="Z41" s="10"/>
      <c r="AB41" s="10"/>
      <c r="AC41" s="10"/>
      <c r="AD41" s="13"/>
      <c r="AE41" s="13"/>
      <c r="AF41" s="13"/>
      <c r="AG41" s="13"/>
      <c r="AH41" s="13"/>
      <c r="AK41" s="13"/>
    </row>
    <row r="42" spans="1:43" x14ac:dyDescent="0.3">
      <c r="E42" s="10"/>
      <c r="M42" s="11"/>
      <c r="Z42" s="10"/>
      <c r="AB42" s="10"/>
      <c r="AC42" s="10"/>
      <c r="AD42" s="13"/>
      <c r="AE42" s="13"/>
      <c r="AF42" s="13"/>
      <c r="AG42" s="13"/>
      <c r="AH42" s="13"/>
      <c r="AK42" s="13"/>
    </row>
    <row r="43" spans="1:43" x14ac:dyDescent="0.3">
      <c r="E43" s="10"/>
      <c r="M43" s="11"/>
      <c r="Z43" s="10"/>
      <c r="AB43" s="10"/>
      <c r="AC43" s="10"/>
      <c r="AD43" s="13"/>
    </row>
    <row r="44" spans="1:43" x14ac:dyDescent="0.3">
      <c r="M44" s="11"/>
      <c r="Z44" s="10"/>
      <c r="AB44" s="10"/>
      <c r="AC44" s="10"/>
      <c r="AD44" s="13"/>
    </row>
    <row r="45" spans="1:43" x14ac:dyDescent="0.3">
      <c r="M45" s="11"/>
      <c r="Z45" s="10"/>
      <c r="AB45" s="10"/>
      <c r="AC45" s="10"/>
      <c r="AD45" s="13"/>
    </row>
    <row r="46" spans="1:43" x14ac:dyDescent="0.3">
      <c r="M46" s="11"/>
      <c r="Z46" s="10"/>
      <c r="AB46" s="10"/>
      <c r="AC46" s="10"/>
      <c r="AD46" s="13"/>
    </row>
  </sheetData>
  <autoFilter ref="A1:AQ36">
    <sortState ref="A2:AQ36">
      <sortCondition ref="AQ1:AQ36"/>
    </sortState>
  </autoFilter>
  <sortState ref="A2:AP36">
    <sortCondition descending="1" ref="AO1"/>
  </sortState>
  <phoneticPr fontId="18" type="noConversion"/>
  <conditionalFormatting sqref="AN2:AN36">
    <cfRule type="top10" dxfId="3" priority="2" rank="1"/>
  </conditionalFormatting>
  <conditionalFormatting sqref="AO2:AO36">
    <cfRule type="top10" dxfId="2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5"/>
  <sheetViews>
    <sheetView tabSelected="1" workbookViewId="0"/>
  </sheetViews>
  <sheetFormatPr defaultRowHeight="16.5" x14ac:dyDescent="0.3"/>
  <cols>
    <col min="1" max="1" width="15.625" style="9" customWidth="1"/>
    <col min="2" max="2" width="10.625" style="9" customWidth="1"/>
    <col min="3" max="5" width="9" style="9"/>
    <col min="6" max="25" width="9" style="9" customWidth="1"/>
    <col min="26" max="26" width="9" style="9"/>
    <col min="27" max="27" width="9" style="9" customWidth="1"/>
    <col min="28" max="29" width="9" style="9"/>
    <col min="30" max="36" width="9" style="9" customWidth="1"/>
    <col min="37" max="38" width="9" style="9"/>
    <col min="39" max="73" width="9" style="4"/>
  </cols>
  <sheetData>
    <row r="1" spans="1:47" x14ac:dyDescent="0.3">
      <c r="A1" s="7" t="s">
        <v>150</v>
      </c>
      <c r="B1" s="8" t="s">
        <v>151</v>
      </c>
      <c r="C1" s="8" t="s">
        <v>152</v>
      </c>
      <c r="D1" s="8" t="s">
        <v>153</v>
      </c>
      <c r="E1" s="8" t="s">
        <v>154</v>
      </c>
      <c r="F1" s="8" t="s">
        <v>155</v>
      </c>
      <c r="G1" s="8" t="s">
        <v>156</v>
      </c>
      <c r="H1" s="8" t="s">
        <v>157</v>
      </c>
      <c r="I1" s="8" t="s">
        <v>158</v>
      </c>
      <c r="J1" s="8" t="s">
        <v>159</v>
      </c>
      <c r="K1" s="8" t="s">
        <v>160</v>
      </c>
      <c r="L1" s="8" t="s">
        <v>161</v>
      </c>
      <c r="M1" s="8" t="s">
        <v>74</v>
      </c>
      <c r="N1" s="8" t="s">
        <v>74</v>
      </c>
      <c r="O1" s="8" t="s">
        <v>163</v>
      </c>
      <c r="P1" s="8" t="s">
        <v>164</v>
      </c>
      <c r="Q1" s="8" t="s">
        <v>165</v>
      </c>
      <c r="R1" s="8" t="s">
        <v>166</v>
      </c>
      <c r="S1" s="8" t="s">
        <v>167</v>
      </c>
      <c r="T1" s="8" t="s">
        <v>168</v>
      </c>
      <c r="U1" s="8" t="s">
        <v>169</v>
      </c>
      <c r="V1" s="8" t="s">
        <v>170</v>
      </c>
      <c r="W1" s="8" t="s">
        <v>171</v>
      </c>
      <c r="X1" s="8" t="s">
        <v>172</v>
      </c>
      <c r="Y1" s="8" t="s">
        <v>173</v>
      </c>
      <c r="Z1" s="8" t="s">
        <v>76</v>
      </c>
      <c r="AA1" s="8" t="s">
        <v>85</v>
      </c>
      <c r="AB1" s="8" t="s">
        <v>148</v>
      </c>
      <c r="AC1" s="8" t="s">
        <v>149</v>
      </c>
      <c r="AD1" s="8" t="s">
        <v>179</v>
      </c>
      <c r="AE1" s="8" t="s">
        <v>228</v>
      </c>
      <c r="AF1" s="8" t="s">
        <v>230</v>
      </c>
      <c r="AG1" s="8" t="s">
        <v>226</v>
      </c>
      <c r="AH1" s="8" t="s">
        <v>86</v>
      </c>
      <c r="AI1" s="8" t="s">
        <v>87</v>
      </c>
      <c r="AJ1" s="8" t="s">
        <v>180</v>
      </c>
      <c r="AK1" s="8" t="s">
        <v>183</v>
      </c>
      <c r="AL1" s="8" t="s">
        <v>88</v>
      </c>
      <c r="AM1" s="8" t="s">
        <v>181</v>
      </c>
      <c r="AN1" s="8" t="s">
        <v>184</v>
      </c>
      <c r="AO1" s="8" t="s">
        <v>185</v>
      </c>
      <c r="AP1" s="8" t="s">
        <v>187</v>
      </c>
      <c r="AQ1" s="40" t="s">
        <v>89</v>
      </c>
      <c r="AT1" s="53"/>
      <c r="AU1" s="53"/>
    </row>
    <row r="2" spans="1:47" x14ac:dyDescent="0.3">
      <c r="A2" s="32" t="s">
        <v>118</v>
      </c>
      <c r="B2" s="33" t="s">
        <v>92</v>
      </c>
      <c r="C2" s="33">
        <v>9</v>
      </c>
      <c r="D2" s="33">
        <v>12</v>
      </c>
      <c r="E2" s="34">
        <f>IF(OR(M2="",M2=0),"",(R2/M2*9))</f>
        <v>3.1049999999999995</v>
      </c>
      <c r="F2" s="33">
        <v>32</v>
      </c>
      <c r="G2" s="33">
        <v>32</v>
      </c>
      <c r="H2" s="33">
        <v>0</v>
      </c>
      <c r="I2" s="33">
        <v>0</v>
      </c>
      <c r="J2" s="33">
        <v>0</v>
      </c>
      <c r="K2" s="33">
        <v>0</v>
      </c>
      <c r="L2" s="33">
        <v>0</v>
      </c>
      <c r="M2" s="35">
        <f>IF(N2="","",(INT(N2)+(N2-INT(N2))*10/3))</f>
        <v>200</v>
      </c>
      <c r="N2" s="33">
        <v>200</v>
      </c>
      <c r="O2" s="33">
        <v>821</v>
      </c>
      <c r="P2" s="33">
        <v>163</v>
      </c>
      <c r="Q2" s="33">
        <v>73</v>
      </c>
      <c r="R2" s="33">
        <v>69</v>
      </c>
      <c r="S2" s="33">
        <v>18</v>
      </c>
      <c r="T2" s="33">
        <v>66</v>
      </c>
      <c r="U2" s="33">
        <v>2</v>
      </c>
      <c r="V2" s="33">
        <v>8</v>
      </c>
      <c r="W2" s="33">
        <v>6</v>
      </c>
      <c r="X2" s="33">
        <v>0</v>
      </c>
      <c r="Y2" s="33">
        <v>144</v>
      </c>
      <c r="Z2" s="34">
        <f>IF(OR(M2="",M2=0),"",((13*S2+3*(T2+V2)-2*Y2)/M2+League!$Y$2))</f>
        <v>3.8878543066585212</v>
      </c>
      <c r="AA2" s="33">
        <f>VLOOKUP(B2,BPF!$A$2:$B$31,2,FALSE)</f>
        <v>104</v>
      </c>
      <c r="AB2" s="36">
        <f>IF(OR(E2="",E2=0),"",(E2/(League!$E$6*AA2/100)*100))</f>
        <v>79.861517270608175</v>
      </c>
      <c r="AC2" s="36">
        <f>IF(OR(Z2="",Z2=0),"",(Z2/(League!$Y$6*AA2/100)*100))</f>
        <v>99.270553013213217</v>
      </c>
      <c r="AD2" s="37">
        <f>IF(OR((C2+D2)="",(C2+D2)=0),"",(C2/(C2+D2)))</f>
        <v>0.42857142857142855</v>
      </c>
      <c r="AE2" s="34">
        <f>IF(OR(F2="",F2=0),"",(M2/F2))</f>
        <v>6.25</v>
      </c>
      <c r="AF2" s="34">
        <f>IF(OR(AA2="",AA2=0,M2="",M2=0),"",(Q2/M2*9)/(AA2/100))</f>
        <v>3.1586538461538463</v>
      </c>
      <c r="AG2" s="34">
        <f>(1.19*AE2-0.056*AF2+1.71)*League!$AC$7</f>
        <v>9.1425613044935758</v>
      </c>
      <c r="AH2" s="34">
        <f>IF(OR(League!$M$6="",League!$M$6=0),"",(League!$P$6/League!$M$6*9))</f>
        <v>4.0449330200482132</v>
      </c>
      <c r="AI2" s="34">
        <f>IF(OR(F2="",F2=0,League!$G$6="",League!$G$6=0,League!$M$8="",League!$M$8=0,AA2="",AA2=0),"",((Q2/F2/(AA2/100)+(League!$M$6/League!$G$6-M2/F2)*(League!$P$8/League!$M$8))/(League!$M$6/League!$G$6)*9))</f>
        <v>3.3444891740111662</v>
      </c>
      <c r="AJ2" s="34">
        <f>IF(AH2="","",((AH2+AI2)^0.287))</f>
        <v>1.7753795290093026</v>
      </c>
      <c r="AK2" s="38">
        <f>IF(AM2="","",(AM2*F2))</f>
        <v>18.675361388911128</v>
      </c>
      <c r="AL2" s="38">
        <f>IF(AK2="","",(F2-AK2))</f>
        <v>13.324638611088872</v>
      </c>
      <c r="AM2" s="37">
        <f>IF(AJ2="","",(AH2^AJ2/(AH2^AJ2+AI2^AJ2)))</f>
        <v>0.58360504340347275</v>
      </c>
      <c r="AN2" s="38">
        <f>IF(OR(AG2="",AG2=0),"",IF(((M2/AG2)&gt;=F2),AK2,IF(OR(AM2=1,(AK2-(F2-M2/AG2)*League!$AA$8)&gt;=AK2),AK2,IF(OR(AM2=0,(AK2-(F2-M2/AG2)*League!$AA$8)&lt;=0),0,(AK2-(F2-M2/AG2)*League!$AA$8)))))</f>
        <v>13.560893385250516</v>
      </c>
      <c r="AO2" s="38">
        <f>IF(OR(AG2="",AG2=0),"",IF((W2/AG2)&gt;=F2,AL2,(M2/AG2-AN2)))</f>
        <v>8.3148144540504738</v>
      </c>
      <c r="AP2" s="37">
        <f>IF(OR(AN2="",(AN2+AO2)=0),"",(AN2/(AN2+AO2)))</f>
        <v>0.61990649559177136</v>
      </c>
      <c r="AQ2" s="39">
        <f>IF(AN2="","",((C2-AN2)+(AO2-D2)))</f>
        <v>-8.2460789312000422</v>
      </c>
      <c r="AS2" s="41"/>
      <c r="AT2" s="53"/>
      <c r="AU2" s="53"/>
    </row>
    <row r="3" spans="1:47" x14ac:dyDescent="0.3">
      <c r="A3" s="15" t="s">
        <v>131</v>
      </c>
      <c r="B3" s="16" t="s">
        <v>100</v>
      </c>
      <c r="C3" s="16">
        <v>8</v>
      </c>
      <c r="D3" s="16">
        <v>14</v>
      </c>
      <c r="E3" s="17">
        <f>IF(OR(M3="",M3=0),"",(R3/M3*9))</f>
        <v>3.6</v>
      </c>
      <c r="F3" s="16">
        <v>33</v>
      </c>
      <c r="G3" s="16">
        <v>33</v>
      </c>
      <c r="H3" s="16">
        <v>1</v>
      </c>
      <c r="I3" s="16">
        <v>0</v>
      </c>
      <c r="J3" s="16">
        <v>0</v>
      </c>
      <c r="K3" s="16">
        <v>0</v>
      </c>
      <c r="L3" s="16">
        <v>0</v>
      </c>
      <c r="M3" s="18">
        <f>IF(N3="","",(INT(N3)+(N3-INT(N3))*10/3))</f>
        <v>220</v>
      </c>
      <c r="N3" s="16">
        <v>220</v>
      </c>
      <c r="O3" s="16">
        <v>905</v>
      </c>
      <c r="P3" s="16">
        <v>205</v>
      </c>
      <c r="Q3" s="16">
        <v>94</v>
      </c>
      <c r="R3" s="16">
        <v>88</v>
      </c>
      <c r="S3" s="16">
        <v>21</v>
      </c>
      <c r="T3" s="16">
        <v>50</v>
      </c>
      <c r="U3" s="16">
        <v>5</v>
      </c>
      <c r="V3" s="16">
        <v>9</v>
      </c>
      <c r="W3" s="16">
        <v>4</v>
      </c>
      <c r="X3" s="16">
        <v>0</v>
      </c>
      <c r="Y3" s="16">
        <v>202</v>
      </c>
      <c r="Z3" s="17">
        <f>IF(OR(M3="",M3=0),"",((13*S3+3*(T3+V3)-2*Y3)/M3+League!$Y$2))</f>
        <v>3.2569452157494303</v>
      </c>
      <c r="AA3" s="16">
        <f>VLOOKUP(B3,BPF!$A$2:$B$31,2,FALSE)</f>
        <v>101</v>
      </c>
      <c r="AB3" s="19">
        <f>IF(OR(E3="",E3=0),"",(E3/(League!$E$6*AA3/100)*100))</f>
        <v>95.343352517069874</v>
      </c>
      <c r="AC3" s="19">
        <f>IF(OR(Z3="",Z3=0),"",(Z3/(League!$Y$6*AA3/100)*100))</f>
        <v>85.631367265733886</v>
      </c>
      <c r="AD3" s="20">
        <f>IF(OR((C3+D3)="",(C3+D3)=0),"",(C3/(C3+D3)))</f>
        <v>0.36363636363636365</v>
      </c>
      <c r="AE3" s="17">
        <f>IF(OR(F3="",F3=0),"",(M3/F3))</f>
        <v>6.666666666666667</v>
      </c>
      <c r="AF3" s="34">
        <f>IF(OR(AA3="",AA3=0,M3="",M3=0),"",(Q3/M3*9)/(AA3/100))</f>
        <v>3.8073807380738072</v>
      </c>
      <c r="AG3" s="34">
        <f>(1.19*AE3-0.056*AF3+1.71)*League!$AC$7</f>
        <v>9.610873571317331</v>
      </c>
      <c r="AH3" s="17">
        <f>IF(OR(League!$M$6="",League!$M$6=0),"",(League!$P$6/League!$M$6*9))</f>
        <v>4.0449330200482132</v>
      </c>
      <c r="AI3" s="17">
        <f>IF(OR(F3="",F3=0,League!$G$6="",League!$G$6=0,League!$M$8="",League!$M$8=0,AA3="",AA3=0),"",((Q3/F3/(AA3/100)+(League!$M$6/League!$G$6-M3/F3)*(League!$P$8/League!$M$8))/(League!$M$6/League!$G$6)*9))</f>
        <v>3.7972734729481048</v>
      </c>
      <c r="AJ3" s="17">
        <f>IF(AH3="","",((AH3+AI3)^0.287))</f>
        <v>1.805941942561212</v>
      </c>
      <c r="AK3" s="21">
        <f>IF(AM3="","",(AM3*F3))</f>
        <v>17.440325339163557</v>
      </c>
      <c r="AL3" s="21">
        <f>IF(AK3="","",(F3-AK3))</f>
        <v>15.559674660836443</v>
      </c>
      <c r="AM3" s="20">
        <f>IF(AJ3="","",(AH3^AJ3/(AH3^AJ3+AI3^AJ3)))</f>
        <v>0.52849470724738057</v>
      </c>
      <c r="AN3" s="21">
        <f>IF(OR(AG3="",AG3=0),"",IF(((M3/AG3)&gt;=F3),AK3,IF(OR(AM3=1,(AK3-(F3-M3/AG3)*League!$AA$8)&gt;=AK3),AK3,IF(OR(AM3=0,(AK3-(F3-M3/AG3)*League!$AA$8)&lt;=0),0,(AK3-(F3-M3/AG3)*League!$AA$8)))))</f>
        <v>12.333450676005043</v>
      </c>
      <c r="AO3" s="21">
        <f>IF(OR(AG3="",AG3=0),"",IF((W3/AG3)&gt;=F3,AL3,(M3/AG3-AN3)))</f>
        <v>10.557288481834625</v>
      </c>
      <c r="AP3" s="20">
        <f>IF(OR(AN3="",(AN3+AO3)=0),"",(AN3/(AN3+AO3)))</f>
        <v>0.53879652338710338</v>
      </c>
      <c r="AQ3" s="22">
        <f>IF(AN3="","",((C3-AN3)+(AO3-D3)))</f>
        <v>-7.7761621941704178</v>
      </c>
    </row>
    <row r="4" spans="1:47" x14ac:dyDescent="0.3">
      <c r="A4" s="15" t="s">
        <v>105</v>
      </c>
      <c r="B4" s="16" t="s">
        <v>96</v>
      </c>
      <c r="C4" s="16">
        <v>16</v>
      </c>
      <c r="D4" s="16">
        <v>9</v>
      </c>
      <c r="E4" s="17">
        <f>IF(OR(M4="",M4=0),"",(R4/M4*9))</f>
        <v>1.8305084745762712</v>
      </c>
      <c r="F4" s="16">
        <v>33</v>
      </c>
      <c r="G4" s="16">
        <v>33</v>
      </c>
      <c r="H4" s="16">
        <v>3</v>
      </c>
      <c r="I4" s="16">
        <v>2</v>
      </c>
      <c r="J4" s="16">
        <v>0</v>
      </c>
      <c r="K4" s="16">
        <v>0</v>
      </c>
      <c r="L4" s="16">
        <v>0</v>
      </c>
      <c r="M4" s="18">
        <f>IF(N4="","",(INT(N4)+(N4-INT(N4))*10/3))</f>
        <v>236</v>
      </c>
      <c r="N4" s="16">
        <v>236</v>
      </c>
      <c r="O4" s="16">
        <v>908</v>
      </c>
      <c r="P4" s="16">
        <v>164</v>
      </c>
      <c r="Q4" s="16">
        <v>55</v>
      </c>
      <c r="R4" s="16">
        <v>48</v>
      </c>
      <c r="S4" s="16">
        <v>11</v>
      </c>
      <c r="T4" s="16">
        <v>52</v>
      </c>
      <c r="U4" s="16">
        <v>2</v>
      </c>
      <c r="V4" s="16">
        <v>3</v>
      </c>
      <c r="W4" s="16">
        <v>12</v>
      </c>
      <c r="X4" s="16">
        <v>2</v>
      </c>
      <c r="Y4" s="16">
        <v>232</v>
      </c>
      <c r="Z4" s="17">
        <f>IF(OR(M4="",M4=0),"",((13*S4+3*(T4+V4)-2*Y4)/M4+League!$Y$2))</f>
        <v>2.3868373575059789</v>
      </c>
      <c r="AA4" s="16">
        <f>VLOOKUP(B4,BPF!$A$2:$B$31,2,FALSE)</f>
        <v>95</v>
      </c>
      <c r="AB4" s="19">
        <f>IF(OR(E4="",E4=0),"",(E4/(League!$E$6*AA4/100)*100))</f>
        <v>51.541544714847774</v>
      </c>
      <c r="AC4" s="19">
        <f>IF(OR(Z4="",Z4=0),"",(Z4/(League!$Y$6*AA4/100)*100))</f>
        <v>66.71800015146836</v>
      </c>
      <c r="AD4" s="20">
        <f>IF(OR((C4+D4)="",(C4+D4)=0),"",(C4/(C4+D4)))</f>
        <v>0.64</v>
      </c>
      <c r="AE4" s="17">
        <f>IF(OR(F4="",F4=0),"",(M4/F4))</f>
        <v>7.1515151515151514</v>
      </c>
      <c r="AF4" s="34">
        <f>IF(OR(AA4="",AA4=0,M4="",M4=0),"",(Q4/M4*9)/(AA4/100))</f>
        <v>2.207850133809099</v>
      </c>
      <c r="AG4" s="34">
        <f>(1.19*AE4-0.056*AF4+1.71)*League!$AC$7</f>
        <v>10.290193075514802</v>
      </c>
      <c r="AH4" s="17">
        <f>IF(OR(League!$M$6="",League!$M$6=0),"",(League!$P$6/League!$M$6*9))</f>
        <v>4.0449330200482132</v>
      </c>
      <c r="AI4" s="17">
        <f>IF(OR(F4="",F4=0,League!$G$6="",League!$G$6=0,League!$M$8="",League!$M$8=0,AA4="",AA4=0),"",((Q4/F4/(AA4/100)+(League!$M$6/League!$G$6-M4/F4)*(League!$P$8/League!$M$8))/(League!$M$6/League!$G$6)*9))</f>
        <v>2.5270559563056079</v>
      </c>
      <c r="AJ4" s="17">
        <f>IF(AH4="","",((AH4+AI4)^0.287))</f>
        <v>1.7166390560879452</v>
      </c>
      <c r="AK4" s="21">
        <f>IF(AM4="","",(AM4*F4))</f>
        <v>22.822195384251156</v>
      </c>
      <c r="AL4" s="21">
        <f>IF(AK4="","",(F4-AK4))</f>
        <v>10.177804615748844</v>
      </c>
      <c r="AM4" s="20">
        <f>IF(AJ4="","",(AH4^AJ4/(AH4^AJ4+AI4^AJ4)))</f>
        <v>0.6915816783106411</v>
      </c>
      <c r="AN4" s="21">
        <f>IF(OR(AG4="",AG4=0),"",IF(((M4/AG4)&gt;=F4),AK4,IF(OR(AM4=1,(AK4-(F4-M4/AG4)*League!$AA$8)&gt;=AK4),AK4,IF(OR(AM4=0,(AK4-(F4-M4/AG4)*League!$AA$8)&lt;=0),0,(AK4-(F4-M4/AG4)*League!$AA$8)))))</f>
        <v>17.737406035046458</v>
      </c>
      <c r="AO4" s="21">
        <f>IF(OR(AG4="",AG4=0),"",IF((W4/AG4)&gt;=F4,AL4,(M4/AG4-AN4)))</f>
        <v>5.1970518772695655</v>
      </c>
      <c r="AP4" s="50">
        <f>IF(OR(AN4="",(AN4+AO4)=0),"",(AN4/(AN4+AO4)))</f>
        <v>0.77339547779419282</v>
      </c>
      <c r="AQ4" s="22">
        <f>IF(AN4="","",((C4-AN4)+(AO4-D4)))</f>
        <v>-5.5403541577768927</v>
      </c>
    </row>
    <row r="5" spans="1:47" x14ac:dyDescent="0.3">
      <c r="A5" s="15" t="s">
        <v>144</v>
      </c>
      <c r="B5" s="16" t="s">
        <v>182</v>
      </c>
      <c r="C5" s="16">
        <v>8</v>
      </c>
      <c r="D5" s="16">
        <v>18</v>
      </c>
      <c r="E5" s="17">
        <f>IF(OR(M5="",M5=0),"",(R5/M5*9))</f>
        <v>4.9790874524714832</v>
      </c>
      <c r="F5" s="16">
        <v>31</v>
      </c>
      <c r="G5" s="16">
        <v>31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8">
        <f>IF(N5="","",(INT(N5)+(N5-INT(N5))*10/3))</f>
        <v>175.33333333333331</v>
      </c>
      <c r="N5" s="16">
        <v>175.1</v>
      </c>
      <c r="O5" s="16">
        <v>777</v>
      </c>
      <c r="P5" s="16">
        <v>197</v>
      </c>
      <c r="Q5" s="16">
        <v>110</v>
      </c>
      <c r="R5" s="16">
        <v>97</v>
      </c>
      <c r="S5" s="16">
        <v>16</v>
      </c>
      <c r="T5" s="16">
        <v>59</v>
      </c>
      <c r="U5" s="16">
        <v>7</v>
      </c>
      <c r="V5" s="16">
        <v>5</v>
      </c>
      <c r="W5" s="16">
        <v>14</v>
      </c>
      <c r="X5" s="16">
        <v>0</v>
      </c>
      <c r="Y5" s="16">
        <v>135</v>
      </c>
      <c r="Z5" s="17">
        <f>IF(OR(M5="",M5=0),"",((13*S5+3*(T5+V5)-2*Y5)/M5+League!$Y$2))</f>
        <v>3.7892991735786734</v>
      </c>
      <c r="AA5" s="16">
        <f>VLOOKUP(B5,BPF!$A$2:$B$31,2,FALSE)</f>
        <v>104</v>
      </c>
      <c r="AB5" s="19">
        <f>IF(OR(E5="",E5=0),"",(E5/(League!$E$6*AA5/100)*100))</f>
        <v>128.06360018596453</v>
      </c>
      <c r="AC5" s="19">
        <f>IF(OR(Z5="",Z5=0),"",(Z5/(League!$Y$6*AA5/100)*100))</f>
        <v>96.754094887101999</v>
      </c>
      <c r="AD5" s="20">
        <f>IF(OR((C5+D5)="",(C5+D5)=0),"",(C5/(C5+D5)))</f>
        <v>0.30769230769230771</v>
      </c>
      <c r="AE5" s="17">
        <f>IF(OR(F5="",F5=0),"",(M5/F5))</f>
        <v>5.6559139784946231</v>
      </c>
      <c r="AF5" s="34">
        <f>IF(OR(AA5="",AA5=0,M5="",M5=0),"",(Q5/M5*9)/(AA5/100))</f>
        <v>5.429219069903481</v>
      </c>
      <c r="AG5" s="34">
        <f>(1.19*AE5-0.056*AF5+1.71)*League!$AC$7</f>
        <v>8.2924592525551244</v>
      </c>
      <c r="AH5" s="17">
        <f>IF(OR(League!$M$6="",League!$M$6=0),"",(League!$P$6/League!$M$6*9))</f>
        <v>4.0449330200482132</v>
      </c>
      <c r="AI5" s="17">
        <f>IF(OR(F5="",F5=0,League!$G$6="",League!$G$6=0,League!$M$8="",League!$M$8=0,AA5="",AA5=0),"",((Q5/F5/(AA5/100)+(League!$M$6/League!$G$6-M5/F5)*(League!$P$8/League!$M$8))/(League!$M$6/League!$G$6)*9))</f>
        <v>4.8131548688665386</v>
      </c>
      <c r="AJ5" s="17">
        <f>IF(AH5="","",((AH5+AI5)^0.287))</f>
        <v>1.8701936397490526</v>
      </c>
      <c r="AK5" s="21">
        <f>IF(AM5="","",(AM5*F5))</f>
        <v>13.00165002329048</v>
      </c>
      <c r="AL5" s="21">
        <f>IF(AK5="","",(F5-AK5))</f>
        <v>17.99834997670952</v>
      </c>
      <c r="AM5" s="20">
        <f>IF(AJ5="","",(AH5^AJ5/(AH5^AJ5+AI5^AJ5)))</f>
        <v>0.41940806526743485</v>
      </c>
      <c r="AN5" s="21">
        <f>IF(OR(AG5="",AG5=0),"",IF(((M5/AG5)&gt;=F5),AK5,IF(OR(AM5=1,(AK5-(F5-M5/AG5)*League!$AA$8)&gt;=AK5),AK5,IF(OR(AM5=0,(AK5-(F5-M5/AG5)*League!$AA$8)&lt;=0),0,(AK5-(F5-M5/AG5)*League!$AA$8)))))</f>
        <v>8.0225668880499725</v>
      </c>
      <c r="AO5" s="21">
        <f>IF(OR(AG5="",AG5=0),"",IF((W5/AG5)&gt;=F5,AL5,(M5/AG5-AN5)))</f>
        <v>13.12114066520795</v>
      </c>
      <c r="AP5" s="20">
        <f>IF(OR(AN5="",(AN5+AO5)=0),"",(AN5/(AN5+AO5)))</f>
        <v>0.37943046969611616</v>
      </c>
      <c r="AQ5" s="22">
        <f>IF(AN5="","",((C5-AN5)+(AO5-D5)))</f>
        <v>-4.9014262228420229</v>
      </c>
    </row>
    <row r="6" spans="1:47" x14ac:dyDescent="0.3">
      <c r="A6" s="15" t="s">
        <v>106</v>
      </c>
      <c r="B6" s="16" t="s">
        <v>99</v>
      </c>
      <c r="C6" s="16">
        <v>9</v>
      </c>
      <c r="D6" s="16">
        <v>5</v>
      </c>
      <c r="E6" s="17">
        <f>IF(OR(M6="",M6=0),"",(R6/M6*9))</f>
        <v>2.2710280373831777</v>
      </c>
      <c r="F6" s="16">
        <v>26</v>
      </c>
      <c r="G6" s="16">
        <v>26</v>
      </c>
      <c r="H6" s="16">
        <v>1</v>
      </c>
      <c r="I6" s="16">
        <v>1</v>
      </c>
      <c r="J6" s="16">
        <v>0</v>
      </c>
      <c r="K6" s="16">
        <v>0</v>
      </c>
      <c r="L6" s="16">
        <v>0</v>
      </c>
      <c r="M6" s="18">
        <f>IF(N6="","",(INT(N6)+(N6-INT(N6))*10/3))</f>
        <v>178.33333333333331</v>
      </c>
      <c r="N6" s="16">
        <v>178.1</v>
      </c>
      <c r="O6" s="16">
        <v>690</v>
      </c>
      <c r="P6" s="16">
        <v>135</v>
      </c>
      <c r="Q6" s="16">
        <v>46</v>
      </c>
      <c r="R6" s="16">
        <v>45</v>
      </c>
      <c r="S6" s="16">
        <v>7</v>
      </c>
      <c r="T6" s="16">
        <v>31</v>
      </c>
      <c r="U6" s="16">
        <v>1</v>
      </c>
      <c r="V6" s="16">
        <v>4</v>
      </c>
      <c r="W6" s="16">
        <v>2</v>
      </c>
      <c r="X6" s="16">
        <v>0</v>
      </c>
      <c r="Y6" s="16">
        <v>191</v>
      </c>
      <c r="Z6" s="17">
        <f>IF(OR(M6="",M6=0),"",((13*S6+3*(T6+V6)-2*Y6)/M6+League!$Y$2))</f>
        <v>2.0048636524529138</v>
      </c>
      <c r="AA6" s="16">
        <f>VLOOKUP(B6,BPF!$A$2:$B$31,2,FALSE)</f>
        <v>96</v>
      </c>
      <c r="AB6" s="19">
        <f>IF(OR(E6="",E6=0),"",(E6/(League!$E$6*AA6/100)*100))</f>
        <v>63.279138024252731</v>
      </c>
      <c r="AC6" s="19">
        <f>IF(OR(Z6="",Z6=0),"",(Z6/(League!$Y$6*AA6/100)*100))</f>
        <v>55.4571322499799</v>
      </c>
      <c r="AD6" s="20">
        <f>IF(OR((C6+D6)="",(C6+D6)=0),"",(C6/(C6+D6)))</f>
        <v>0.6428571428571429</v>
      </c>
      <c r="AE6" s="17">
        <f>IF(OR(F6="",F6=0),"",(M6/F6))</f>
        <v>6.8589743589743586</v>
      </c>
      <c r="AF6" s="34">
        <f>IF(OR(AA6="",AA6=0,M6="",M6=0),"",(Q6/M6*9)/(AA6/100))</f>
        <v>2.4182242990654208</v>
      </c>
      <c r="AG6" s="34">
        <f>(1.19*AE6-0.056*AF6+1.71)*League!$AC$7</f>
        <v>9.9233900435242735</v>
      </c>
      <c r="AH6" s="17">
        <f>IF(OR(League!$M$6="",League!$M$6=0),"",(League!$P$6/League!$M$6*9))</f>
        <v>4.0449330200482132</v>
      </c>
      <c r="AI6" s="17">
        <f>IF(OR(F6="",F6=0,League!$G$6="",League!$G$6=0,League!$M$8="",League!$M$8=0,AA6="",AA6=0),"",((Q6/F6/(AA6/100)+(League!$M$6/League!$G$6-M6/F6)*(League!$P$8/League!$M$8))/(League!$M$6/League!$G$6)*9))</f>
        <v>2.7383238420367491</v>
      </c>
      <c r="AJ6" s="17">
        <f>IF(AH6="","",((AH6+AI6)^0.287))</f>
        <v>1.7322987078375649</v>
      </c>
      <c r="AK6" s="21">
        <f>IF(AM6="","",(AM6*F6))</f>
        <v>17.232832374902699</v>
      </c>
      <c r="AL6" s="21">
        <f>IF(AK6="","",(F6-AK6))</f>
        <v>8.7671676250973007</v>
      </c>
      <c r="AM6" s="20">
        <f>IF(AJ6="","",(AH6^AJ6/(AH6^AJ6+AI6^AJ6)))</f>
        <v>0.66280124518856542</v>
      </c>
      <c r="AN6" s="21">
        <f>IF(OR(AG6="",AG6=0),"",IF(((M6/AG6)&gt;=F6),AK6,IF(OR(AM6=1,(AK6-(F6-M6/AG6)*League!$AA$8)&gt;=AK6),AK6,IF(OR(AM6=0,(AK6-(F6-M6/AG6)*League!$AA$8)&lt;=0),0,(AK6-(F6-M6/AG6)*League!$AA$8)))))</f>
        <v>13.176843460301175</v>
      </c>
      <c r="AO6" s="21">
        <f>IF(OR(AG6="",AG6=0),"",IF((W6/AG6)&gt;=F6,AL6,(M6/AG6-AN6)))</f>
        <v>4.7941656959607677</v>
      </c>
      <c r="AP6" s="20">
        <f>IF(OR(AN6="",(AN6+AO6)=0),"",(AN6/(AN6+AO6)))</f>
        <v>0.7332277973777418</v>
      </c>
      <c r="AQ6" s="22">
        <f>IF(AN6="","",((C6-AN6)+(AO6-D6)))</f>
        <v>-4.3826777643404071</v>
      </c>
    </row>
    <row r="7" spans="1:47" x14ac:dyDescent="0.3">
      <c r="A7" s="15" t="s">
        <v>112</v>
      </c>
      <c r="B7" s="16" t="s">
        <v>98</v>
      </c>
      <c r="C7" s="16">
        <v>8</v>
      </c>
      <c r="D7" s="16">
        <v>9</v>
      </c>
      <c r="E7" s="17">
        <f>IF(OR(M7="",M7=0),"",(R7/M7*9))</f>
        <v>3</v>
      </c>
      <c r="F7" s="16">
        <v>30</v>
      </c>
      <c r="G7" s="16">
        <v>30</v>
      </c>
      <c r="H7" s="16">
        <v>1</v>
      </c>
      <c r="I7" s="16">
        <v>1</v>
      </c>
      <c r="J7" s="16">
        <v>0</v>
      </c>
      <c r="K7" s="16">
        <v>0</v>
      </c>
      <c r="L7" s="16">
        <v>0</v>
      </c>
      <c r="M7" s="18">
        <f>IF(N7="","",(INT(N7)+(N7-INT(N7))*10/3))</f>
        <v>183</v>
      </c>
      <c r="N7" s="16">
        <v>183</v>
      </c>
      <c r="O7" s="16">
        <v>731</v>
      </c>
      <c r="P7" s="16">
        <v>136</v>
      </c>
      <c r="Q7" s="16">
        <v>71</v>
      </c>
      <c r="R7" s="16">
        <v>61</v>
      </c>
      <c r="S7" s="16">
        <v>16</v>
      </c>
      <c r="T7" s="16">
        <v>56</v>
      </c>
      <c r="U7" s="16">
        <v>1</v>
      </c>
      <c r="V7" s="16">
        <v>12</v>
      </c>
      <c r="W7" s="16">
        <v>7</v>
      </c>
      <c r="X7" s="16">
        <v>3</v>
      </c>
      <c r="Y7" s="16">
        <v>191</v>
      </c>
      <c r="Z7" s="17">
        <f>IF(OR(M7="",M7=0),"",((13*S7+3*(T7+V7)-2*Y7)/M7+League!$Y$2))</f>
        <v>3.2117887328880297</v>
      </c>
      <c r="AA7" s="16">
        <f>VLOOKUP(B7,BPF!$A$2:$B$31,2,FALSE)</f>
        <v>100</v>
      </c>
      <c r="AB7" s="19">
        <f>IF(OR(E7="",E7=0),"",(E7/(League!$E$6*AA7/100)*100))</f>
        <v>80.247321701867165</v>
      </c>
      <c r="AC7" s="19">
        <f>IF(OR(Z7="",Z7=0),"",(Z7/(League!$Y$6*AA7/100)*100))</f>
        <v>85.288557458164632</v>
      </c>
      <c r="AD7" s="20">
        <f>IF(OR((C7+D7)="",(C7+D7)=0),"",(C7/(C7+D7)))</f>
        <v>0.47058823529411764</v>
      </c>
      <c r="AE7" s="17">
        <f>IF(OR(F7="",F7=0),"",(M7/F7))</f>
        <v>6.1</v>
      </c>
      <c r="AF7" s="34">
        <f>IF(OR(AA7="",AA7=0,M7="",M7=0),"",(Q7/M7*9)/(AA7/100))</f>
        <v>3.4918032786885247</v>
      </c>
      <c r="AG7" s="34">
        <f>(1.19*AE7-0.056*AF7+1.71)*League!$AC$7</f>
        <v>8.9416259053311347</v>
      </c>
      <c r="AH7" s="17">
        <f>IF(OR(League!$M$6="",League!$M$6=0),"",(League!$P$6/League!$M$6*9))</f>
        <v>4.0449330200482132</v>
      </c>
      <c r="AI7" s="17">
        <f>IF(OR(F7="",F7=0,League!$G$6="",League!$G$6=0,League!$M$8="",League!$M$8=0,AA7="",AA7=0),"",((Q7/F7/(AA7/100)+(League!$M$6/League!$G$6-M7/F7)*(League!$P$8/League!$M$8))/(League!$M$6/League!$G$6)*9))</f>
        <v>3.5806956972921662</v>
      </c>
      <c r="AJ7" s="17">
        <f>IF(AH7="","",((AH7+AI7)^0.287))</f>
        <v>1.7914847406513039</v>
      </c>
      <c r="AK7" s="21">
        <f>IF(AM7="","",(AM7*F7))</f>
        <v>16.631491216602708</v>
      </c>
      <c r="AL7" s="21">
        <f>IF(AK7="","",(F7-AK7))</f>
        <v>13.368508783397292</v>
      </c>
      <c r="AM7" s="20">
        <f>IF(AJ7="","",(AH7^AJ7/(AH7^AJ7+AI7^AJ7)))</f>
        <v>0.55438304055342358</v>
      </c>
      <c r="AN7" s="21">
        <f>IF(OR(AG7="",AG7=0),"",IF(((M7/AG7)&gt;=F7),AK7,IF(OR(AM7=1,(AK7-(F7-M7/AG7)*League!$AA$8)&gt;=AK7),AK7,IF(OR(AM7=0,(AK7-(F7-M7/AG7)*League!$AA$8)&lt;=0),0,(AK7-(F7-M7/AG7)*League!$AA$8)))))</f>
        <v>11.815258554693163</v>
      </c>
      <c r="AO7" s="21">
        <f>IF(OR(AG7="",AG7=0),"",IF((W7/AG7)&gt;=F7,AL7,(M7/AG7-AN7)))</f>
        <v>8.6508179662327009</v>
      </c>
      <c r="AP7" s="20">
        <f>IF(OR(AN7="",(AN7+AO7)=0),"",(AN7/(AN7+AO7)))</f>
        <v>0.57730940967666489</v>
      </c>
      <c r="AQ7" s="22">
        <f>IF(AN7="","",((C7-AN7)+(AO7-D7)))</f>
        <v>-4.1644405884604616</v>
      </c>
    </row>
    <row r="8" spans="1:47" x14ac:dyDescent="0.3">
      <c r="A8" s="15" t="s">
        <v>132</v>
      </c>
      <c r="B8" s="16" t="s">
        <v>93</v>
      </c>
      <c r="C8" s="16">
        <v>11</v>
      </c>
      <c r="D8" s="16">
        <v>12</v>
      </c>
      <c r="E8" s="17">
        <f>IF(OR(M8="",M8=0),"",(R8/M8*9))</f>
        <v>3.4880382775119618</v>
      </c>
      <c r="F8" s="16">
        <v>32</v>
      </c>
      <c r="G8" s="16">
        <v>32</v>
      </c>
      <c r="H8" s="16">
        <v>2</v>
      </c>
      <c r="I8" s="16">
        <v>1</v>
      </c>
      <c r="J8" s="16">
        <v>0</v>
      </c>
      <c r="K8" s="16">
        <v>0</v>
      </c>
      <c r="L8" s="16">
        <v>0</v>
      </c>
      <c r="M8" s="18">
        <f>IF(N8="","",(INT(N8)+(N8-INT(N8))*10/3))</f>
        <v>209</v>
      </c>
      <c r="N8" s="16">
        <v>209</v>
      </c>
      <c r="O8" s="16">
        <v>849</v>
      </c>
      <c r="P8" s="16">
        <v>181</v>
      </c>
      <c r="Q8" s="16">
        <v>85</v>
      </c>
      <c r="R8" s="16">
        <v>81</v>
      </c>
      <c r="S8" s="16">
        <v>20</v>
      </c>
      <c r="T8" s="16">
        <v>54</v>
      </c>
      <c r="U8" s="16">
        <v>2</v>
      </c>
      <c r="V8" s="16">
        <v>10</v>
      </c>
      <c r="W8" s="16">
        <v>5</v>
      </c>
      <c r="X8" s="16">
        <v>2</v>
      </c>
      <c r="Y8" s="16">
        <v>199</v>
      </c>
      <c r="Z8" s="17">
        <f>IF(OR(M8="",M8=0),"",((13*S8+3*(T8+V8)-2*Y8)/M8+League!$Y$2))</f>
        <v>3.3062275124001479</v>
      </c>
      <c r="AA8" s="16">
        <f>VLOOKUP(B8,BPF!$A$2:$B$31,2,FALSE)</f>
        <v>101</v>
      </c>
      <c r="AB8" s="19">
        <f>IF(OR(E8="",E8=0),"",(E8/(League!$E$6*AA8/100)*100))</f>
        <v>92.378128634960049</v>
      </c>
      <c r="AC8" s="19">
        <f>IF(OR(Z8="",Z8=0),"",(Z8/(League!$Y$6*AA8/100)*100))</f>
        <v>86.927093833006026</v>
      </c>
      <c r="AD8" s="20">
        <f>IF(OR((C8+D8)="",(C8+D8)=0),"",(C8/(C8+D8)))</f>
        <v>0.47826086956521741</v>
      </c>
      <c r="AE8" s="17">
        <f>IF(OR(F8="",F8=0),"",(M8/F8))</f>
        <v>6.53125</v>
      </c>
      <c r="AF8" s="34">
        <f>IF(OR(AA8="",AA8=0,M8="",M8=0),"",(Q8/M8*9)/(AA8/100))</f>
        <v>3.6240466151878348</v>
      </c>
      <c r="AG8" s="34">
        <f>(1.19*AE8-0.056*AF8+1.71)*League!$AC$7</f>
        <v>9.4571024455427555</v>
      </c>
      <c r="AH8" s="17">
        <f>IF(OR(League!$M$6="",League!$M$6=0),"",(League!$P$6/League!$M$6*9))</f>
        <v>4.0449330200482132</v>
      </c>
      <c r="AI8" s="17">
        <f>IF(OR(F8="",F8=0,League!$G$6="",League!$G$6=0,League!$M$8="",League!$M$8=0,AA8="",AA8=0),"",((Q8/F8/(AA8/100)+(League!$M$6/League!$G$6-M8/F8)*(League!$P$8/League!$M$8))/(League!$M$6/League!$G$6)*9))</f>
        <v>3.6635019476991988</v>
      </c>
      <c r="AJ8" s="17">
        <f>IF(AH8="","",((AH8+AI8)^0.287))</f>
        <v>1.797046450817942</v>
      </c>
      <c r="AK8" s="21">
        <f>IF(AM8="","",(AM8*F8))</f>
        <v>17.420167416066533</v>
      </c>
      <c r="AL8" s="21">
        <f>IF(AK8="","",(F8-AK8))</f>
        <v>14.579832583933467</v>
      </c>
      <c r="AM8" s="20">
        <f>IF(AJ8="","",(AH8^AJ8/(AH8^AJ8+AI8^AJ8)))</f>
        <v>0.54438023175207917</v>
      </c>
      <c r="AN8" s="21">
        <f>IF(OR(AG8="",AG8=0),"",IF(((M8/AG8)&gt;=F8),AK8,IF(OR(AM8=1,(AK8-(F8-M8/AG8)*League!$AA$8)&gt;=AK8),AK8,IF(OR(AM8=0,(AK8-(F8-M8/AG8)*League!$AA$8)&lt;=0),0,(AK8-(F8-M8/AG8)*League!$AA$8)))))</f>
        <v>12.418899712329768</v>
      </c>
      <c r="AO8" s="21">
        <f>IF(OR(AG8="",AG8=0),"",IF((W8/AG8)&gt;=F8,AL8,(M8/AG8-AN8)))</f>
        <v>9.6808926081503976</v>
      </c>
      <c r="AP8" s="20">
        <f>IF(OR(AN8="",(AN8+AO8)=0),"",(AN8/(AN8+AO8)))</f>
        <v>0.56194644421255546</v>
      </c>
      <c r="AQ8" s="22">
        <f>IF(AN8="","",((C8-AN8)+(AO8-D8)))</f>
        <v>-3.7380071041793705</v>
      </c>
    </row>
    <row r="9" spans="1:47" x14ac:dyDescent="0.3">
      <c r="A9" s="15" t="s">
        <v>137</v>
      </c>
      <c r="B9" s="16" t="s">
        <v>92</v>
      </c>
      <c r="C9" s="16">
        <v>8</v>
      </c>
      <c r="D9" s="16">
        <v>13</v>
      </c>
      <c r="E9" s="17">
        <f>IF(OR(M9="",M9=0),"",(R9/M9*9))</f>
        <v>4.3385335413416541</v>
      </c>
      <c r="F9" s="16">
        <v>33</v>
      </c>
      <c r="G9" s="16">
        <v>33</v>
      </c>
      <c r="H9" s="16">
        <v>2</v>
      </c>
      <c r="I9" s="16">
        <v>1</v>
      </c>
      <c r="J9" s="16">
        <v>0</v>
      </c>
      <c r="K9" s="16">
        <v>0</v>
      </c>
      <c r="L9" s="16">
        <v>0</v>
      </c>
      <c r="M9" s="18">
        <f>IF(N9="","",(INT(N9)+(N9-INT(N9))*10/3))</f>
        <v>213.66666666666663</v>
      </c>
      <c r="N9" s="16">
        <v>213.2</v>
      </c>
      <c r="O9" s="16">
        <v>914</v>
      </c>
      <c r="P9" s="16">
        <v>210</v>
      </c>
      <c r="Q9" s="16">
        <v>109</v>
      </c>
      <c r="R9" s="16">
        <v>103</v>
      </c>
      <c r="S9" s="16">
        <v>25</v>
      </c>
      <c r="T9" s="16">
        <v>78</v>
      </c>
      <c r="U9" s="16">
        <v>3</v>
      </c>
      <c r="V9" s="16">
        <v>8</v>
      </c>
      <c r="W9" s="16">
        <v>11</v>
      </c>
      <c r="X9" s="16">
        <v>0</v>
      </c>
      <c r="Y9" s="16">
        <v>214</v>
      </c>
      <c r="Z9" s="17">
        <f>IF(OR(M9="",M9=0),"",((13*S9+3*(T9+V9)-2*Y9)/M9+League!$Y$2))</f>
        <v>3.7732833238192081</v>
      </c>
      <c r="AA9" s="16">
        <f>VLOOKUP(B9,BPF!$A$2:$B$31,2,FALSE)</f>
        <v>104</v>
      </c>
      <c r="AB9" s="19">
        <f>IF(OR(E9="",E9=0),"",(E9/(League!$E$6*AA9/100)*100))</f>
        <v>111.58836436102074</v>
      </c>
      <c r="AC9" s="19">
        <f>IF(OR(Z9="",Z9=0),"",(Z9/(League!$Y$6*AA9/100)*100))</f>
        <v>96.345154083976809</v>
      </c>
      <c r="AD9" s="20">
        <f>IF(OR((C9+D9)="",(C9+D9)=0),"",(C9/(C9+D9)))</f>
        <v>0.38095238095238093</v>
      </c>
      <c r="AE9" s="17">
        <f>IF(OR(F9="",F9=0),"",(M9/F9))</f>
        <v>6.474747474747474</v>
      </c>
      <c r="AF9" s="34">
        <f>IF(OR(AA9="",AA9=0,M9="",M9=0),"",(Q9/M9*9)/(AA9/100))</f>
        <v>4.4146765870634832</v>
      </c>
      <c r="AG9" s="34">
        <f>(1.19*AE9-0.056*AF9+1.71)*League!$AC$7</f>
        <v>9.3434517107014212</v>
      </c>
      <c r="AH9" s="17">
        <f>IF(OR(League!$M$6="",League!$M$6=0),"",(League!$P$6/League!$M$6*9))</f>
        <v>4.0449330200482132</v>
      </c>
      <c r="AI9" s="17">
        <f>IF(OR(F9="",F9=0,League!$G$6="",League!$G$6=0,League!$M$8="",League!$M$8=0,AA9="",AA9=0),"",((Q9/F9/(AA9/100)+(League!$M$6/League!$G$6-M9/F9)*(League!$P$8/League!$M$8))/(League!$M$6/League!$G$6)*9))</f>
        <v>4.2337906711466697</v>
      </c>
      <c r="AJ9" s="17">
        <f>IF(AH9="","",((AH9+AI9)^0.287))</f>
        <v>1.8342371799247763</v>
      </c>
      <c r="AK9" s="21">
        <f>IF(AM9="","",(AM9*F9))</f>
        <v>15.809867408378768</v>
      </c>
      <c r="AL9" s="21">
        <f>IF(AK9="","",(F9-AK9))</f>
        <v>17.190132591621232</v>
      </c>
      <c r="AM9" s="20">
        <f>IF(AJ9="","",(AH9^AJ9/(AH9^AJ9+AI9^AJ9)))</f>
        <v>0.47908689116299297</v>
      </c>
      <c r="AN9" s="21">
        <f>IF(OR(AG9="",AG9=0),"",IF(((M9/AG9)&gt;=F9),AK9,IF(OR(AM9=1,(AK9-(F9-M9/AG9)*League!$AA$8)&gt;=AK9),AK9,IF(OR(AM9=0,(AK9-(F9-M9/AG9)*League!$AA$8)&lt;=0),0,(AK9-(F9-M9/AG9)*League!$AA$8)))))</f>
        <v>10.691538791151343</v>
      </c>
      <c r="AO9" s="21">
        <f>IF(OR(AG9="",AG9=0),"",IF((W9/AG9)&gt;=F9,AL9,(M9/AG9-AN9)))</f>
        <v>12.176526810551914</v>
      </c>
      <c r="AP9" s="20">
        <f>IF(OR(AN9="",(AN9+AO9)=0),"",(AN9/(AN9+AO9)))</f>
        <v>0.4675314028465537</v>
      </c>
      <c r="AQ9" s="22">
        <f>IF(AN9="","",((C9-AN9)+(AO9-D9)))</f>
        <v>-3.5150119805994287</v>
      </c>
    </row>
    <row r="10" spans="1:47" x14ac:dyDescent="0.3">
      <c r="A10" s="15" t="s">
        <v>116</v>
      </c>
      <c r="B10" s="16" t="s">
        <v>101</v>
      </c>
      <c r="C10" s="16">
        <v>10</v>
      </c>
      <c r="D10" s="16">
        <v>11</v>
      </c>
      <c r="E10" s="17">
        <f>IF(OR(M10="",M10=0),"",(R10/M10*9))</f>
        <v>3.2984293193717278</v>
      </c>
      <c r="F10" s="16">
        <v>30</v>
      </c>
      <c r="G10" s="16">
        <v>30</v>
      </c>
      <c r="H10" s="16">
        <v>1</v>
      </c>
      <c r="I10" s="16">
        <v>0</v>
      </c>
      <c r="J10" s="16">
        <v>0</v>
      </c>
      <c r="K10" s="16">
        <v>0</v>
      </c>
      <c r="L10" s="16">
        <v>0</v>
      </c>
      <c r="M10" s="18">
        <f>IF(N10="","",(INT(N10)+(N10-INT(N10))*10/3))</f>
        <v>191</v>
      </c>
      <c r="N10" s="16">
        <v>191</v>
      </c>
      <c r="O10" s="16">
        <v>801</v>
      </c>
      <c r="P10" s="16">
        <v>165</v>
      </c>
      <c r="Q10" s="16">
        <v>79</v>
      </c>
      <c r="R10" s="16">
        <v>70</v>
      </c>
      <c r="S10" s="16">
        <v>11</v>
      </c>
      <c r="T10" s="16">
        <v>67</v>
      </c>
      <c r="U10" s="16">
        <v>3</v>
      </c>
      <c r="V10" s="16">
        <v>9</v>
      </c>
      <c r="W10" s="16">
        <v>12</v>
      </c>
      <c r="X10" s="16">
        <v>0</v>
      </c>
      <c r="Y10" s="16">
        <v>209</v>
      </c>
      <c r="Z10" s="17">
        <f>IF(OR(M10="",M10=0),"",((13*S10+3*(T10+V10)-2*Y10)/M10+League!$Y$2))</f>
        <v>2.8017810082292018</v>
      </c>
      <c r="AA10" s="16">
        <f>VLOOKUP(B10,BPF!$A$2:$B$31,2,FALSE)</f>
        <v>97</v>
      </c>
      <c r="AB10" s="19">
        <f>IF(OR(E10="",E10=0),"",(E10/(League!$E$6*AA10/100)*100))</f>
        <v>90.958803677832918</v>
      </c>
      <c r="AC10" s="19">
        <f>IF(OR(Z10="",Z10=0),"",(Z10/(League!$Y$6*AA10/100)*100))</f>
        <v>76.701922867040366</v>
      </c>
      <c r="AD10" s="20">
        <f>IF(OR((C10+D10)="",(C10+D10)=0),"",(C10/(C10+D10)))</f>
        <v>0.47619047619047616</v>
      </c>
      <c r="AE10" s="17">
        <f>IF(OR(F10="",F10=0),"",(M10/F10))</f>
        <v>6.3666666666666663</v>
      </c>
      <c r="AF10" s="34">
        <f>IF(OR(AA10="",AA10=0,M10="",M10=0),"",(Q10/M10*9)/(AA10/100))</f>
        <v>3.837642359799212</v>
      </c>
      <c r="AG10" s="34">
        <f>(1.19*AE10-0.056*AF10+1.71)*League!$AC$7</f>
        <v>9.2453035748253356</v>
      </c>
      <c r="AH10" s="17">
        <f>IF(OR(League!$M$6="",League!$M$6=0),"",(League!$P$6/League!$M$6*9))</f>
        <v>4.0449330200482132</v>
      </c>
      <c r="AI10" s="17">
        <f>IF(OR(F10="",F10=0,League!$G$6="",League!$G$6=0,League!$M$8="",League!$M$8=0,AA10="",AA10=0),"",((Q10/F10/(AA10/100)+(League!$M$6/League!$G$6-M10/F10)*(League!$P$8/League!$M$8))/(League!$M$6/League!$G$6)*9))</f>
        <v>3.8173982571095535</v>
      </c>
      <c r="AJ10" s="17">
        <f>IF(AH10="","",((AH10+AI10)^0.287))</f>
        <v>1.8072708101900079</v>
      </c>
      <c r="AK10" s="21">
        <f>IF(AM10="","",(AM10*F10))</f>
        <v>15.784036397144728</v>
      </c>
      <c r="AL10" s="21">
        <f>IF(AK10="","",(F10-AK10))</f>
        <v>14.215963602855272</v>
      </c>
      <c r="AM10" s="20">
        <f>IF(AJ10="","",(AH10^AJ10/(AH10^AJ10+AI10^AJ10)))</f>
        <v>0.52613454657149095</v>
      </c>
      <c r="AN10" s="21">
        <f>IF(OR(AG10="",AG10=0),"",IF(((M10/AG10)&gt;=F10),AK10,IF(OR(AM10=1,(AK10-(F10-M10/AG10)*League!$AA$8)&gt;=AK10),AK10,IF(OR(AM10=0,(AK10-(F10-M10/AG10)*League!$AA$8)&lt;=0),0,(AK10-(F10-M10/AG10)*League!$AA$8)))))</f>
        <v>11.065332077147016</v>
      </c>
      <c r="AO10" s="21">
        <f>IF(OR(AG10="",AG10=0),"",IF((W10/AG10)&gt;=F10,AL10,(M10/AG10-AN10)))</f>
        <v>9.5938056628063642</v>
      </c>
      <c r="AP10" s="20">
        <f>IF(OR(AN10="",(AN10+AO10)=0),"",(AN10/(AN10+AO10)))</f>
        <v>0.53561441994490455</v>
      </c>
      <c r="AQ10" s="22">
        <f>IF(AN10="","",((C10-AN10)+(AO10-D10)))</f>
        <v>-2.4715264143406515</v>
      </c>
    </row>
    <row r="11" spans="1:47" x14ac:dyDescent="0.3">
      <c r="A11" s="15" t="s">
        <v>125</v>
      </c>
      <c r="B11" s="16" t="s">
        <v>97</v>
      </c>
      <c r="C11" s="16">
        <v>11</v>
      </c>
      <c r="D11" s="16">
        <v>10</v>
      </c>
      <c r="E11" s="17">
        <f>IF(OR(M11="",M11=0),"",(R11/M11*9))</f>
        <v>3.352348993288591</v>
      </c>
      <c r="F11" s="16">
        <v>32</v>
      </c>
      <c r="G11" s="16">
        <v>32</v>
      </c>
      <c r="H11" s="16">
        <v>2</v>
      </c>
      <c r="I11" s="16">
        <v>1</v>
      </c>
      <c r="J11" s="16">
        <v>0</v>
      </c>
      <c r="K11" s="16">
        <v>0</v>
      </c>
      <c r="L11" s="16">
        <v>0</v>
      </c>
      <c r="M11" s="18">
        <f>IF(N11="","",(INT(N11)+(N11-INT(N11))*10/3))</f>
        <v>198.66666666666663</v>
      </c>
      <c r="N11" s="16">
        <v>198.2</v>
      </c>
      <c r="O11" s="16">
        <v>806</v>
      </c>
      <c r="P11" s="16">
        <v>196</v>
      </c>
      <c r="Q11" s="16">
        <v>78</v>
      </c>
      <c r="R11" s="16">
        <v>74</v>
      </c>
      <c r="S11" s="16">
        <v>26</v>
      </c>
      <c r="T11" s="16">
        <v>36</v>
      </c>
      <c r="U11" s="16">
        <v>1</v>
      </c>
      <c r="V11" s="16">
        <v>3</v>
      </c>
      <c r="W11" s="16">
        <v>1</v>
      </c>
      <c r="X11" s="16">
        <v>0</v>
      </c>
      <c r="Y11" s="16">
        <v>125</v>
      </c>
      <c r="Z11" s="17">
        <f>IF(OR(M11="",M11=0),"",((13*S11+3*(T11+V11)-2*Y11)/M11+League!$Y$2))</f>
        <v>4.079733501289394</v>
      </c>
      <c r="AA11" s="16">
        <f>VLOOKUP(B11,BPF!$A$2:$B$31,2,FALSE)</f>
        <v>101</v>
      </c>
      <c r="AB11" s="19">
        <f>IF(OR(E11="",E11=0),"",(E11/(League!$E$6*AA11/100)*100))</f>
        <v>88.784497729821794</v>
      </c>
      <c r="AC11" s="19">
        <f>IF(OR(Z11="",Z11=0),"",(Z11/(League!$Y$6*AA11/100)*100))</f>
        <v>107.26405716187142</v>
      </c>
      <c r="AD11" s="20">
        <f>IF(OR((C11+D11)="",(C11+D11)=0),"",(C11/(C11+D11)))</f>
        <v>0.52380952380952384</v>
      </c>
      <c r="AE11" s="17">
        <f>IF(OR(F11="",F11=0),"",(M11/F11))</f>
        <v>6.2083333333333321</v>
      </c>
      <c r="AF11" s="34">
        <f>IF(OR(AA11="",AA11=0,M11="",M11=0),"",(Q11/M11*9)/(AA11/100))</f>
        <v>3.4985713336434325</v>
      </c>
      <c r="AG11" s="34">
        <f>(1.19*AE11-0.056*AF11+1.71)*League!$AC$7</f>
        <v>9.0726273300690039</v>
      </c>
      <c r="AH11" s="17">
        <f>IF(OR(League!$M$6="",League!$M$6=0),"",(League!$P$6/League!$M$6*9))</f>
        <v>4.0449330200482132</v>
      </c>
      <c r="AI11" s="17">
        <f>IF(OR(F11="",F11=0,League!$G$6="",League!$G$6=0,League!$M$8="",League!$M$8=0,AA11="",AA11=0),"",((Q11/F11/(AA11/100)+(League!$M$6/League!$G$6-M11/F11)*(League!$P$8/League!$M$8))/(League!$M$6/League!$G$6)*9))</f>
        <v>3.582037836388845</v>
      </c>
      <c r="AJ11" s="17">
        <f>IF(AH11="","",((AH11+AI11)^0.287))</f>
        <v>1.7915752283687798</v>
      </c>
      <c r="AK11" s="21">
        <f>IF(AM11="","",(AM11*F11))</f>
        <v>17.735036627475314</v>
      </c>
      <c r="AL11" s="21">
        <f>IF(AK11="","",(F11-AK11))</f>
        <v>14.264963372524686</v>
      </c>
      <c r="AM11" s="20">
        <f>IF(AJ11="","",(AH11^AJ11/(AH11^AJ11+AI11^AJ11)))</f>
        <v>0.55421989460860355</v>
      </c>
      <c r="AN11" s="21">
        <f>IF(OR(AG11="",AG11=0),"",IF(((M11/AG11)&gt;=F11),AK11,IF(OR(AM11=1,(AK11-(F11-M11/AG11)*League!$AA$8)&gt;=AK11),AK11,IF(OR(AM11=0,(AK11-(F11-M11/AG11)*League!$AA$8)&lt;=0),0,(AK11-(F11-M11/AG11)*League!$AA$8)))))</f>
        <v>12.631511049072746</v>
      </c>
      <c r="AO11" s="21">
        <f>IF(OR(AG11="",AG11=0),"",IF((W11/AG11)&gt;=F11,AL11,(M11/AG11-AN11)))</f>
        <v>9.2658577548055483</v>
      </c>
      <c r="AP11" s="20">
        <f>IF(OR(AN11="",(AN11+AO11)=0),"",(AN11/(AN11+AO11)))</f>
        <v>0.57685063270412418</v>
      </c>
      <c r="AQ11" s="22">
        <f>IF(AN11="","",((C11-AN11)+(AO11-D11)))</f>
        <v>-2.3656532942671973</v>
      </c>
    </row>
    <row r="12" spans="1:47" x14ac:dyDescent="0.3">
      <c r="A12" s="15" t="s">
        <v>109</v>
      </c>
      <c r="B12" s="16" t="s">
        <v>95</v>
      </c>
      <c r="C12" s="16">
        <v>12</v>
      </c>
      <c r="D12" s="16">
        <v>6</v>
      </c>
      <c r="E12" s="17">
        <f>IF(OR(M12="",M12=0),"",(R12/M12*9))</f>
        <v>2.1891891891891895</v>
      </c>
      <c r="F12" s="16">
        <v>28</v>
      </c>
      <c r="G12" s="16">
        <v>28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8">
        <f>IF(N12="","",(INT(N12)+(N12-INT(N12))*10/3))</f>
        <v>172.66666666666663</v>
      </c>
      <c r="N12" s="16">
        <v>172.2</v>
      </c>
      <c r="O12" s="16">
        <v>681</v>
      </c>
      <c r="P12" s="16">
        <v>111</v>
      </c>
      <c r="Q12" s="16">
        <v>47</v>
      </c>
      <c r="R12" s="16">
        <v>42</v>
      </c>
      <c r="S12" s="16">
        <v>10</v>
      </c>
      <c r="T12" s="16">
        <v>58</v>
      </c>
      <c r="U12" s="16">
        <v>5</v>
      </c>
      <c r="V12" s="16">
        <v>5</v>
      </c>
      <c r="W12" s="16">
        <v>3</v>
      </c>
      <c r="X12" s="16">
        <v>1</v>
      </c>
      <c r="Y12" s="16">
        <v>187</v>
      </c>
      <c r="Z12" s="17">
        <f>IF(OR(M12="",M12=0),"",((13*S12+3*(T12+V12)-2*Y12)/M12+League!$Y$2))</f>
        <v>2.7293214881257026</v>
      </c>
      <c r="AA12" s="16">
        <f>VLOOKUP(B12,BPF!$A$2:$B$31,2,FALSE)</f>
        <v>101</v>
      </c>
      <c r="AB12" s="19">
        <f>IF(OR(E12="",E12=0),"",(E12/(League!$E$6*AA12/100)*100))</f>
        <v>57.979065719839795</v>
      </c>
      <c r="AC12" s="19">
        <f>IF(OR(Z12="",Z12=0),"",(Z12/(League!$Y$6*AA12/100)*100))</f>
        <v>71.759122507122953</v>
      </c>
      <c r="AD12" s="20">
        <f>IF(OR((C12+D12)="",(C12+D12)=0),"",(C12/(C12+D12)))</f>
        <v>0.66666666666666663</v>
      </c>
      <c r="AE12" s="17">
        <f>IF(OR(F12="",F12=0),"",(M12/F12))</f>
        <v>6.1666666666666652</v>
      </c>
      <c r="AF12" s="34">
        <f>IF(OR(AA12="",AA12=0,M12="",M12=0),"",(Q12/M12*9)/(AA12/100))</f>
        <v>2.4255514354524261</v>
      </c>
      <c r="AG12" s="34">
        <f>(1.19*AE12-0.056*AF12+1.71)*League!$AC$7</f>
        <v>9.0833344825227957</v>
      </c>
      <c r="AH12" s="17">
        <f>IF(OR(League!$M$6="",League!$M$6=0),"",(League!$P$6/League!$M$6*9))</f>
        <v>4.0449330200482132</v>
      </c>
      <c r="AI12" s="17">
        <f>IF(OR(F12="",F12=0,League!$G$6="",League!$G$6=0,League!$M$8="",League!$M$8=0,AA12="",AA12=0),"",((Q12/F12/(AA12/100)+(League!$M$6/League!$G$6-M12/F12)*(League!$P$8/League!$M$8))/(League!$M$6/League!$G$6)*9))</f>
        <v>2.8473076539506663</v>
      </c>
      <c r="AJ12" s="17">
        <f>IF(AH12="","",((AH12+AI12)^0.287))</f>
        <v>1.7402411934498829</v>
      </c>
      <c r="AK12" s="21">
        <f>IF(AM12="","",(AM12*F12))</f>
        <v>18.148621682431212</v>
      </c>
      <c r="AL12" s="21">
        <f>IF(AK12="","",(F12-AK12))</f>
        <v>9.8513783175687877</v>
      </c>
      <c r="AM12" s="20">
        <f>IF(AJ12="","",(AH12^AJ12/(AH12^AJ12+AI12^AJ12)))</f>
        <v>0.64816506008682895</v>
      </c>
      <c r="AN12" s="21">
        <f>IF(OR(AG12="",AG12=0),"",IF(((M12/AG12)&gt;=F12),AK12,IF(OR(AM12=1,(AK12-(F12-M12/AG12)*League!$AA$8)&gt;=AK12),AK12,IF(OR(AM12=0,(AK12-(F12-M12/AG12)*League!$AA$8)&lt;=0),0,(AK12-(F12-M12/AG12)*League!$AA$8)))))</f>
        <v>13.606743408038716</v>
      </c>
      <c r="AO12" s="21">
        <f>IF(OR(AG12="",AG12=0),"",IF((W12/AG12)&gt;=F12,AL12,(M12/AG12-AN12)))</f>
        <v>5.4024284989183382</v>
      </c>
      <c r="AP12" s="20">
        <f>IF(OR(AN12="",(AN12+AO12)=0),"",(AN12/(AN12+AO12)))</f>
        <v>0.71579885092516127</v>
      </c>
      <c r="AQ12" s="22">
        <f>IF(AN12="","",((C12-AN12)+(AO12-D12)))</f>
        <v>-2.2043149091203773</v>
      </c>
    </row>
    <row r="13" spans="1:47" x14ac:dyDescent="0.3">
      <c r="A13" s="15" t="s">
        <v>130</v>
      </c>
      <c r="B13" s="16" t="s">
        <v>90</v>
      </c>
      <c r="C13" s="16">
        <v>10</v>
      </c>
      <c r="D13" s="16">
        <v>10</v>
      </c>
      <c r="E13" s="17">
        <f>IF(OR(M13="",M13=0),"",(R13/M13*9))</f>
        <v>3.552631578947369</v>
      </c>
      <c r="F13" s="16">
        <v>33</v>
      </c>
      <c r="G13" s="16">
        <v>33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8">
        <f>IF(N13="","",(INT(N13)+(N13-INT(N13))*10/3))</f>
        <v>202.66666666666663</v>
      </c>
      <c r="N13" s="16">
        <v>202.2</v>
      </c>
      <c r="O13" s="16">
        <v>847</v>
      </c>
      <c r="P13" s="16">
        <v>201</v>
      </c>
      <c r="Q13" s="16">
        <v>88</v>
      </c>
      <c r="R13" s="16">
        <v>80</v>
      </c>
      <c r="S13" s="16">
        <v>21</v>
      </c>
      <c r="T13" s="16">
        <v>66</v>
      </c>
      <c r="U13" s="16">
        <v>4</v>
      </c>
      <c r="V13" s="16">
        <v>4</v>
      </c>
      <c r="W13" s="16">
        <v>13</v>
      </c>
      <c r="X13" s="16">
        <v>0</v>
      </c>
      <c r="Y13" s="16">
        <v>147</v>
      </c>
      <c r="Z13" s="17">
        <f>IF(OR(M13="",M13=0),"",((13*S13+3*(T13+V13)-2*Y13)/M13+League!$Y$2))</f>
        <v>3.9804200961322058</v>
      </c>
      <c r="AA13" s="16">
        <f>VLOOKUP(B13,BPF!$A$2:$B$31,2,FALSE)</f>
        <v>104</v>
      </c>
      <c r="AB13" s="19">
        <f>IF(OR(E13="",E13=0),"",(E13/(League!$E$6*AA13/100)*100))</f>
        <v>91.374733719231344</v>
      </c>
      <c r="AC13" s="19">
        <f>IF(OR(Z13="",Z13=0),"",(Z13/(League!$Y$6*AA13/100)*100))</f>
        <v>101.63408219572906</v>
      </c>
      <c r="AD13" s="20">
        <f>IF(OR((C13+D13)="",(C13+D13)=0),"",(C13/(C13+D13)))</f>
        <v>0.5</v>
      </c>
      <c r="AE13" s="17">
        <f>IF(OR(F13="",F13=0),"",(M13/F13))</f>
        <v>6.1414141414141401</v>
      </c>
      <c r="AF13" s="34">
        <f>IF(OR(AA13="",AA13=0,M13="",M13=0),"",(Q13/M13*9)/(AA13/100))</f>
        <v>3.7575910931174095</v>
      </c>
      <c r="AG13" s="34">
        <f>(1.19*AE13-0.056*AF13+1.71)*League!$AC$7</f>
        <v>8.9766839596179491</v>
      </c>
      <c r="AH13" s="17">
        <f>IF(OR(League!$M$6="",League!$M$6=0),"",(League!$P$6/League!$M$6*9))</f>
        <v>4.0449330200482132</v>
      </c>
      <c r="AI13" s="17">
        <f>IF(OR(F13="",F13=0,League!$G$6="",League!$G$6=0,League!$M$8="",League!$M$8=0,AA13="",AA13=0),"",((Q13/F13/(AA13/100)+(League!$M$6/League!$G$6-M13/F13)*(League!$P$8/League!$M$8))/(League!$M$6/League!$G$6)*9))</f>
        <v>3.7609784372551651</v>
      </c>
      <c r="AJ13" s="17">
        <f>IF(AH13="","",((AH13+AI13)^0.287))</f>
        <v>1.803539170895704</v>
      </c>
      <c r="AK13" s="21">
        <f>IF(AM13="","",(AM13*F13))</f>
        <v>17.581442478704986</v>
      </c>
      <c r="AL13" s="21">
        <f>IF(AK13="","",(F13-AK13))</f>
        <v>15.418557521295014</v>
      </c>
      <c r="AM13" s="20">
        <f>IF(AJ13="","",(AH13^AJ13/(AH13^AJ13+AI13^AJ13)))</f>
        <v>0.53277098420318136</v>
      </c>
      <c r="AN13" s="21">
        <f>IF(OR(AG13="",AG13=0),"",IF(((M13/AG13)&gt;=F13),AK13,IF(OR(AM13=1,(AK13-(F13-M13/AG13)*League!$AA$8)&gt;=AK13),AK13,IF(OR(AM13=0,(AK13-(F13-M13/AG13)*League!$AA$8)&lt;=0),0,(AK13-(F13-M13/AG13)*League!$AA$8)))))</f>
        <v>12.316080948702414</v>
      </c>
      <c r="AO13" s="21">
        <f>IF(OR(AG13="",AG13=0),"",IF((W13/AG13)&gt;=F13,AL13,(M13/AG13-AN13)))</f>
        <v>10.260927173491986</v>
      </c>
      <c r="AP13" s="20">
        <f>IF(OR(AN13="",(AN13+AO13)=0),"",(AN13/(AN13+AO13)))</f>
        <v>0.54551430738934148</v>
      </c>
      <c r="AQ13" s="22">
        <f>IF(AN13="","",((C13-AN13)+(AO13-D13)))</f>
        <v>-2.0551537752104281</v>
      </c>
    </row>
    <row r="14" spans="1:47" x14ac:dyDescent="0.3">
      <c r="A14" s="15" t="s">
        <v>143</v>
      </c>
      <c r="B14" s="16" t="s">
        <v>98</v>
      </c>
      <c r="C14" s="16">
        <v>10</v>
      </c>
      <c r="D14" s="16">
        <v>14</v>
      </c>
      <c r="E14" s="17">
        <f>IF(OR(M14="",M14=0),"",(R14/M14*9))</f>
        <v>4.6956521739130448</v>
      </c>
      <c r="F14" s="16">
        <v>30</v>
      </c>
      <c r="G14" s="16">
        <v>30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8">
        <f>IF(N14="","",(INT(N14)+(N14-INT(N14))*10/3))</f>
        <v>168.66666666666663</v>
      </c>
      <c r="N14" s="16">
        <v>168.2</v>
      </c>
      <c r="O14" s="16">
        <v>713</v>
      </c>
      <c r="P14" s="16">
        <v>178</v>
      </c>
      <c r="Q14" s="16">
        <v>92</v>
      </c>
      <c r="R14" s="16">
        <v>88</v>
      </c>
      <c r="S14" s="16">
        <v>28</v>
      </c>
      <c r="T14" s="16">
        <v>31</v>
      </c>
      <c r="U14" s="16">
        <v>0</v>
      </c>
      <c r="V14" s="16">
        <v>7</v>
      </c>
      <c r="W14" s="16">
        <v>8</v>
      </c>
      <c r="X14" s="16">
        <v>1</v>
      </c>
      <c r="Y14" s="16">
        <v>149</v>
      </c>
      <c r="Z14" s="17">
        <f>IF(OR(M14="",M14=0),"",((13*S14+3*(T14+V14)-2*Y14)/M14+League!$Y$2))</f>
        <v>4.1150479825478499</v>
      </c>
      <c r="AA14" s="16">
        <f>VLOOKUP(B14,BPF!$A$2:$B$31,2,FALSE)</f>
        <v>100</v>
      </c>
      <c r="AB14" s="19">
        <f>IF(OR(E14="",E14=0),"",(E14/(League!$E$6*AA14/100)*100))</f>
        <v>125.60450353335733</v>
      </c>
      <c r="AC14" s="19">
        <f>IF(OR(Z14="",Z14=0),"",(Z14/(League!$Y$6*AA14/100)*100))</f>
        <v>109.27446836985722</v>
      </c>
      <c r="AD14" s="20">
        <f>IF(OR((C14+D14)="",(C14+D14)=0),"",(C14/(C14+D14)))</f>
        <v>0.41666666666666669</v>
      </c>
      <c r="AE14" s="17">
        <f>IF(OR(F14="",F14=0),"",(M14/F14))</f>
        <v>5.6222222222222209</v>
      </c>
      <c r="AF14" s="34">
        <f>IF(OR(AA14="",AA14=0,M14="",M14=0),"",(Q14/M14*9)/(AA14/100))</f>
        <v>4.9090909090909101</v>
      </c>
      <c r="AG14" s="34">
        <f>(1.19*AE14-0.056*AF14+1.71)*League!$AC$7</f>
        <v>8.2812830465266831</v>
      </c>
      <c r="AH14" s="17">
        <f>IF(OR(League!$M$6="",League!$M$6=0),"",(League!$P$6/League!$M$6*9))</f>
        <v>4.0449330200482132</v>
      </c>
      <c r="AI14" s="17">
        <f>IF(OR(F14="",F14=0,League!$G$6="",League!$G$6=0,League!$M$8="",League!$M$8=0,AA14="",AA14=0),"",((Q14/F14/(AA14/100)+(League!$M$6/League!$G$6-M14/F14)*(League!$P$8/League!$M$8))/(League!$M$6/League!$G$6)*9))</f>
        <v>4.481673971911122</v>
      </c>
      <c r="AJ14" s="17">
        <f>IF(AH14="","",((AH14+AI14)^0.287))</f>
        <v>1.8498341067510811</v>
      </c>
      <c r="AK14" s="21">
        <f>IF(AM14="","",(AM14*F14))</f>
        <v>13.581750130763117</v>
      </c>
      <c r="AL14" s="21">
        <f>IF(AK14="","",(F14-AK14))</f>
        <v>16.418249869236881</v>
      </c>
      <c r="AM14" s="20">
        <f>IF(AJ14="","",(AH14^AJ14/(AH14^AJ14+AI14^AJ14)))</f>
        <v>0.45272500435877056</v>
      </c>
      <c r="AN14" s="21">
        <f>IF(OR(AG14="",AG14=0),"",IF(((M14/AG14)&gt;=F14),AK14,IF(OR(AM14=1,(AK14-(F14-M14/AG14)*League!$AA$8)&gt;=AK14),AK14,IF(OR(AM14=0,(AK14-(F14-M14/AG14)*League!$AA$8)&lt;=0),0,(AK14-(F14-M14/AG14)*League!$AA$8)))))</f>
        <v>8.7155754534455809</v>
      </c>
      <c r="AO14" s="21">
        <f>IF(OR(AG14="",AG14=0),"",IF((W14/AG14)&gt;=F14,AL14,(M14/AG14-AN14)))</f>
        <v>11.6516388681816</v>
      </c>
      <c r="AP14" s="20">
        <f>IF(OR(AN14="",(AN14+AO14)=0),"",(AN14/(AN14+AO14)))</f>
        <v>0.42792182160084791</v>
      </c>
      <c r="AQ14" s="22">
        <f>IF(AN14="","",((C14-AN14)+(AO14-D14)))</f>
        <v>-1.0639365852639813</v>
      </c>
    </row>
    <row r="15" spans="1:47" x14ac:dyDescent="0.3">
      <c r="A15" s="15" t="s">
        <v>147</v>
      </c>
      <c r="B15" s="16" t="s">
        <v>103</v>
      </c>
      <c r="C15" s="16">
        <v>10</v>
      </c>
      <c r="D15" s="16">
        <v>9</v>
      </c>
      <c r="E15" s="17">
        <f>IF(OR(M15="",M15=0),"",(R15/M15*9))</f>
        <v>3.0422535211267614</v>
      </c>
      <c r="F15" s="16">
        <v>26</v>
      </c>
      <c r="G15" s="16">
        <v>26</v>
      </c>
      <c r="H15" s="16">
        <v>1</v>
      </c>
      <c r="I15" s="16">
        <v>1</v>
      </c>
      <c r="J15" s="16">
        <v>0</v>
      </c>
      <c r="K15" s="16">
        <v>0</v>
      </c>
      <c r="L15" s="16">
        <v>0</v>
      </c>
      <c r="M15" s="18">
        <f>IF(N15="","",(INT(N15)+(N15-INT(N15))*10/3))</f>
        <v>165.66666666666663</v>
      </c>
      <c r="N15" s="16">
        <v>165.2</v>
      </c>
      <c r="O15" s="16">
        <v>668</v>
      </c>
      <c r="P15" s="16">
        <v>144</v>
      </c>
      <c r="Q15" s="16">
        <v>64</v>
      </c>
      <c r="R15" s="16">
        <v>56</v>
      </c>
      <c r="S15" s="16">
        <v>11</v>
      </c>
      <c r="T15" s="16">
        <v>41</v>
      </c>
      <c r="U15" s="16">
        <v>3</v>
      </c>
      <c r="V15" s="16">
        <v>4</v>
      </c>
      <c r="W15" s="16">
        <v>5</v>
      </c>
      <c r="X15" s="16">
        <v>0</v>
      </c>
      <c r="Y15" s="16">
        <v>119</v>
      </c>
      <c r="Z15" s="17">
        <f>IF(OR(M15="",M15=0),"",((13*S15+3*(T15+V15)-2*Y15)/M15+League!$Y$2))</f>
        <v>3.2893029988114391</v>
      </c>
      <c r="AA15" s="16">
        <f>VLOOKUP(B15,BPF!$A$2:$B$31,2,FALSE)</f>
        <v>95</v>
      </c>
      <c r="AB15" s="19">
        <f>IF(OR(E15="",E15=0),"",(E15/(League!$E$6*AA15/100)*100))</f>
        <v>85.66059544157801</v>
      </c>
      <c r="AC15" s="19">
        <f>IF(OR(Z15="",Z15=0),"",(Z15/(League!$Y$6*AA15/100)*100))</f>
        <v>91.944144113044032</v>
      </c>
      <c r="AD15" s="20">
        <f>IF(OR((C15+D15)="",(C15+D15)=0),"",(C15/(C15+D15)))</f>
        <v>0.52631578947368418</v>
      </c>
      <c r="AE15" s="17">
        <f>IF(OR(F15="",F15=0),"",(M15/F15))</f>
        <v>6.3717948717948705</v>
      </c>
      <c r="AF15" s="34">
        <f>IF(OR(AA15="",AA15=0,M15="",M15=0),"",(Q15/M15*9)/(AA15/100))</f>
        <v>3.6598538600021189</v>
      </c>
      <c r="AG15" s="34">
        <f>(1.19*AE15-0.056*AF15+1.71)*League!$AC$7</f>
        <v>9.2616701033867184</v>
      </c>
      <c r="AH15" s="17">
        <f>IF(OR(League!$M$6="",League!$M$6=0),"",(League!$P$6/League!$M$6*9))</f>
        <v>4.0449330200482132</v>
      </c>
      <c r="AI15" s="17">
        <f>IF(OR(F15="",F15=0,League!$G$6="",League!$G$6=0,League!$M$8="",League!$M$8=0,AA15="",AA15=0),"",((Q15/F15/(AA15/100)+(League!$M$6/League!$G$6-M15/F15)*(League!$P$8/League!$M$8))/(League!$M$6/League!$G$6)*9))</f>
        <v>3.6914370246460906</v>
      </c>
      <c r="AJ15" s="17">
        <f>IF(AH15="","",((AH15+AI15)^0.287))</f>
        <v>1.7989131080290424</v>
      </c>
      <c r="AK15" s="21">
        <f>IF(AM15="","",(AM15*F15))</f>
        <v>14.066904167690049</v>
      </c>
      <c r="AL15" s="21">
        <f>IF(AK15="","",(F15-AK15))</f>
        <v>11.933095832309951</v>
      </c>
      <c r="AM15" s="20">
        <f>IF(AJ15="","",(AH15^AJ15/(AH15^AJ15+AI15^AJ15)))</f>
        <v>0.54103477568038649</v>
      </c>
      <c r="AN15" s="21">
        <f>IF(OR(AG15="",AG15=0),"",IF(((M15/AG15)&gt;=F15),AK15,IF(OR(AM15=1,(AK15-(F15-M15/AG15)*League!$AA$8)&gt;=AK15),AK15,IF(OR(AM15=0,(AK15-(F15-M15/AG15)*League!$AA$8)&lt;=0),0,(AK15-(F15-M15/AG15)*League!$AA$8)))))</f>
        <v>9.9686496157919269</v>
      </c>
      <c r="AO15" s="21">
        <f>IF(OR(AG15="",AG15=0),"",IF((W15/AG15)&gt;=F15,AL15,(M15/AG15-AN15)))</f>
        <v>7.9186930359493868</v>
      </c>
      <c r="AP15" s="20">
        <f>IF(OR(AN15="",(AN15+AO15)=0),"",(AN15/(AN15+AO15)))</f>
        <v>0.55730187596207814</v>
      </c>
      <c r="AQ15" s="22">
        <f>IF(AN15="","",((C15-AN15)+(AO15-D15)))</f>
        <v>-1.0499565798425401</v>
      </c>
    </row>
    <row r="16" spans="1:47" x14ac:dyDescent="0.3">
      <c r="A16" s="15" t="s">
        <v>139</v>
      </c>
      <c r="B16" s="16" t="s">
        <v>104</v>
      </c>
      <c r="C16" s="16">
        <v>8</v>
      </c>
      <c r="D16" s="16">
        <v>10</v>
      </c>
      <c r="E16" s="17">
        <f>IF(OR(M16="",M16=0),"",(R16/M16*9))</f>
        <v>4.0036166365280295</v>
      </c>
      <c r="F16" s="16">
        <v>30</v>
      </c>
      <c r="G16" s="16">
        <v>30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8">
        <f>IF(N16="","",(INT(N16)+(N16-INT(N16))*10/3))</f>
        <v>184.33333333333331</v>
      </c>
      <c r="N16" s="16">
        <v>184.1</v>
      </c>
      <c r="O16" s="16">
        <v>760</v>
      </c>
      <c r="P16" s="16">
        <v>158</v>
      </c>
      <c r="Q16" s="16">
        <v>85</v>
      </c>
      <c r="R16" s="16">
        <v>82</v>
      </c>
      <c r="S16" s="16">
        <v>23</v>
      </c>
      <c r="T16" s="16">
        <v>55</v>
      </c>
      <c r="U16" s="16">
        <v>3</v>
      </c>
      <c r="V16" s="16">
        <v>5</v>
      </c>
      <c r="W16" s="16">
        <v>1</v>
      </c>
      <c r="X16" s="16">
        <v>0</v>
      </c>
      <c r="Y16" s="16">
        <v>158</v>
      </c>
      <c r="Z16" s="17">
        <f>IF(OR(M16="",M16=0),"",((13*S16+3*(T16+V16)-2*Y16)/M16+League!$Y$2))</f>
        <v>3.9321219377615955</v>
      </c>
      <c r="AA16" s="16">
        <f>VLOOKUP(B16,BPF!$A$2:$B$31,2,FALSE)</f>
        <v>94</v>
      </c>
      <c r="AB16" s="19">
        <f>IF(OR(E16="",E16=0),"",(E16/(League!$E$6*AA16/100)*100))</f>
        <v>113.92890503631637</v>
      </c>
      <c r="AC16" s="19">
        <f>IF(OR(Z16="",Z16=0),"",(Z16/(League!$Y$6*AA16/100)*100))</f>
        <v>111.08180350189407</v>
      </c>
      <c r="AD16" s="20">
        <f>IF(OR((C16+D16)="",(C16+D16)=0),"",(C16/(C16+D16)))</f>
        <v>0.44444444444444442</v>
      </c>
      <c r="AE16" s="17">
        <f>IF(OR(F16="",F16=0),"",(M16/F16))</f>
        <v>6.1444444444444439</v>
      </c>
      <c r="AF16" s="34">
        <f>IF(OR(AA16="",AA16=0,M16="",M16=0),"",(Q16/M16*9)/(AA16/100))</f>
        <v>4.41498980416298</v>
      </c>
      <c r="AG16" s="34">
        <f>(1.19*AE16-0.056*AF16+1.71)*League!$AC$7</f>
        <v>8.9428391668374125</v>
      </c>
      <c r="AH16" s="17">
        <f>IF(OR(League!$M$6="",League!$M$6=0),"",(League!$P$6/League!$M$6*9))</f>
        <v>4.0449330200482132</v>
      </c>
      <c r="AI16" s="17">
        <f>IF(OR(F16="",F16=0,League!$G$6="",League!$G$6=0,League!$M$8="",League!$M$8=0,AA16="",AA16=0),"",((Q16/F16/(AA16/100)+(League!$M$6/League!$G$6-M16/F16)*(League!$P$8/League!$M$8))/(League!$M$6/League!$G$6)*9))</f>
        <v>4.210257134023383</v>
      </c>
      <c r="AJ16" s="17">
        <f>IF(AH16="","",((AH16+AI16)^0.287))</f>
        <v>1.8327392144046271</v>
      </c>
      <c r="AK16" s="21">
        <f>IF(AM16="","",(AM16*F16))</f>
        <v>14.449618139369713</v>
      </c>
      <c r="AL16" s="21">
        <f>IF(AK16="","",(F16-AK16))</f>
        <v>15.550381860630287</v>
      </c>
      <c r="AM16" s="20">
        <f>IF(AJ16="","",(AH16^AJ16/(AH16^AJ16+AI16^AJ16)))</f>
        <v>0.48165393797899042</v>
      </c>
      <c r="AN16" s="21">
        <f>IF(OR(AG16="",AG16=0),"",IF(((M16/AG16)&gt;=F16),AK16,IF(OR(AM16=1,(AK16-(F16-M16/AG16)*League!$AA$8)&gt;=AK16),AK16,IF(OR(AM16=0,(AK16-(F16-M16/AG16)*League!$AA$8)&lt;=0),0,(AK16-(F16-M16/AG16)*League!$AA$8)))))</f>
        <v>9.7073008851307385</v>
      </c>
      <c r="AO16" s="21">
        <f>IF(OR(AG16="",AG16=0),"",IF((W16/AG16)&gt;=F16,AL16,(M16/AG16-AN16)))</f>
        <v>10.905094115429449</v>
      </c>
      <c r="AP16" s="20">
        <f>IF(OR(AN16="",(AN16+AO16)=0),"",(AN16/(AN16+AO16)))</f>
        <v>0.47094483124677755</v>
      </c>
      <c r="AQ16" s="22">
        <f>IF(AN16="","",((C16-AN16)+(AO16-D16)))</f>
        <v>-0.80220676970128935</v>
      </c>
    </row>
    <row r="17" spans="1:43" x14ac:dyDescent="0.3">
      <c r="A17" s="15" t="s">
        <v>111</v>
      </c>
      <c r="B17" s="16" t="s">
        <v>104</v>
      </c>
      <c r="C17" s="16">
        <v>13</v>
      </c>
      <c r="D17" s="16">
        <v>9</v>
      </c>
      <c r="E17" s="17">
        <f>IF(OR(M17="",M17=0),"",(R17/M17*9))</f>
        <v>2.7715231788079473</v>
      </c>
      <c r="F17" s="16">
        <v>31</v>
      </c>
      <c r="G17" s="16">
        <v>31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8">
        <f>IF(N17="","",(INT(N17)+(N17-INT(N17))*10/3))</f>
        <v>201.33333333333331</v>
      </c>
      <c r="N17" s="16">
        <v>201.1</v>
      </c>
      <c r="O17" s="16">
        <v>803</v>
      </c>
      <c r="P17" s="16">
        <v>146</v>
      </c>
      <c r="Q17" s="16">
        <v>68</v>
      </c>
      <c r="R17" s="16">
        <v>62</v>
      </c>
      <c r="S17" s="16">
        <v>15</v>
      </c>
      <c r="T17" s="16">
        <v>62</v>
      </c>
      <c r="U17" s="16">
        <v>6</v>
      </c>
      <c r="V17" s="16">
        <v>6</v>
      </c>
      <c r="W17" s="16">
        <v>6</v>
      </c>
      <c r="X17" s="16">
        <v>0</v>
      </c>
      <c r="Y17" s="16">
        <v>199</v>
      </c>
      <c r="Z17" s="17">
        <f>IF(OR(M17="",M17=0),"",((13*S17+3*(T17+V17)-2*Y17)/M17+League!$Y$2))</f>
        <v>3.0528211940757397</v>
      </c>
      <c r="AA17" s="16">
        <f>VLOOKUP(B17,BPF!$A$2:$B$31,2,FALSE)</f>
        <v>94</v>
      </c>
      <c r="AB17" s="19">
        <f>IF(OR(E17="",E17=0),"",(E17/(League!$E$6*AA17/100)*100))</f>
        <v>78.867841182263419</v>
      </c>
      <c r="AC17" s="19">
        <f>IF(OR(Z17="",Z17=0),"",(Z17/(League!$Y$6*AA17/100)*100))</f>
        <v>86.241700886769237</v>
      </c>
      <c r="AD17" s="20">
        <f>IF(OR((C17+D17)="",(C17+D17)=0),"",(C17/(C17+D17)))</f>
        <v>0.59090909090909094</v>
      </c>
      <c r="AE17" s="17">
        <f>IF(OR(F17="",F17=0),"",(M17/F17))</f>
        <v>6.4946236559139781</v>
      </c>
      <c r="AF17" s="34">
        <f>IF(OR(AA17="",AA17=0,M17="",M17=0),"",(Q17/M17*9)/(AA17/100))</f>
        <v>3.2337607439763287</v>
      </c>
      <c r="AG17" s="34">
        <f>(1.19*AE17-0.056*AF17+1.71)*League!$AC$7</f>
        <v>9.4349566037353192</v>
      </c>
      <c r="AH17" s="17">
        <f>IF(OR(League!$M$6="",League!$M$6=0),"",(League!$P$6/League!$M$6*9))</f>
        <v>4.0449330200482132</v>
      </c>
      <c r="AI17" s="17">
        <f>IF(OR(F17="",F17=0,League!$G$6="",League!$G$6=0,League!$M$8="",League!$M$8=0,AA17="",AA17=0),"",((Q17/F17/(AA17/100)+(League!$M$6/League!$G$6-M17/F17)*(League!$P$8/League!$M$8))/(League!$M$6/League!$G$6)*9))</f>
        <v>3.3821573408462222</v>
      </c>
      <c r="AJ17" s="17">
        <f>IF(AH17="","",((AH17+AI17)^0.287))</f>
        <v>1.7779722121704074</v>
      </c>
      <c r="AK17" s="21">
        <f>IF(AM17="","",(AM17*F17))</f>
        <v>17.945226508177509</v>
      </c>
      <c r="AL17" s="21">
        <f>IF(AK17="","",(F17-AK17))</f>
        <v>13.054773491822491</v>
      </c>
      <c r="AM17" s="20">
        <f>IF(AJ17="","",(AH17^AJ17/(AH17^AJ17+AI17^AJ17)))</f>
        <v>0.57887827445733897</v>
      </c>
      <c r="AN17" s="21">
        <f>IF(OR(AG17="",AG17=0),"",IF(((M17/AG17)&gt;=F17),AK17,IF(OR(AM17=1,(AK17-(F17-M17/AG17)*League!$AA$8)&gt;=AK17),AK17,IF(OR(AM17=0,(AK17-(F17-M17/AG17)*League!$AA$8)&lt;=0),0,(AK17-(F17-M17/AG17)*League!$AA$8)))))</f>
        <v>13.06484139168245</v>
      </c>
      <c r="AO17" s="21">
        <f>IF(OR(AG17="",AG17=0),"",IF((W17/AG17)&gt;=F17,AL17,(M17/AG17-AN17)))</f>
        <v>8.2742428022633945</v>
      </c>
      <c r="AP17" s="20">
        <f>IF(OR(AN17="",(AN17+AO17)=0),"",(AN17/(AN17+AO17)))</f>
        <v>0.61224939519143484</v>
      </c>
      <c r="AQ17" s="22">
        <f>IF(AN17="","",((C17-AN17)+(AO17-D17)))</f>
        <v>-0.79059858941905503</v>
      </c>
    </row>
    <row r="18" spans="1:43" x14ac:dyDescent="0.3">
      <c r="A18" s="15" t="s">
        <v>123</v>
      </c>
      <c r="B18" s="16" t="s">
        <v>94</v>
      </c>
      <c r="C18" s="16">
        <v>14</v>
      </c>
      <c r="D18" s="16">
        <v>10</v>
      </c>
      <c r="E18" s="17">
        <f>IF(OR(M18="",M18=0),"",(R18/M18*9))</f>
        <v>3.4662162162162167</v>
      </c>
      <c r="F18" s="16">
        <v>31</v>
      </c>
      <c r="G18" s="16">
        <v>31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8">
        <f>IF(N18="","",(INT(N18)+(N18-INT(N18))*10/3))</f>
        <v>197.33333333333331</v>
      </c>
      <c r="N18" s="16">
        <v>197.1</v>
      </c>
      <c r="O18" s="16">
        <v>816</v>
      </c>
      <c r="P18" s="16">
        <v>188</v>
      </c>
      <c r="Q18" s="16">
        <v>82</v>
      </c>
      <c r="R18" s="16">
        <v>76</v>
      </c>
      <c r="S18" s="16">
        <v>11</v>
      </c>
      <c r="T18" s="16">
        <v>61</v>
      </c>
      <c r="U18" s="16">
        <v>3</v>
      </c>
      <c r="V18" s="16">
        <v>3</v>
      </c>
      <c r="W18" s="16">
        <v>5</v>
      </c>
      <c r="X18" s="16">
        <v>1</v>
      </c>
      <c r="Y18" s="16">
        <v>126</v>
      </c>
      <c r="Z18" s="17">
        <f>IF(OR(M18="",M18=0),"",((13*S18+3*(T18+V18)-2*Y18)/M18+League!$Y$2))</f>
        <v>3.4684624147666296</v>
      </c>
      <c r="AA18" s="16">
        <f>VLOOKUP(B18,BPF!$A$2:$B$31,2,FALSE)</f>
        <v>115</v>
      </c>
      <c r="AB18" s="19">
        <f>IF(OR(E18="",E18=0),"",(E18/(League!$E$6*AA18/100)*100))</f>
        <v>80.624512403168538</v>
      </c>
      <c r="AC18" s="19">
        <f>IF(OR(Z18="",Z18=0),"",(Z18/(League!$Y$6*AA18/100)*100))</f>
        <v>80.090858899353321</v>
      </c>
      <c r="AD18" s="20">
        <f>IF(OR((C18+D18)="",(C18+D18)=0),"",(C18/(C18+D18)))</f>
        <v>0.58333333333333337</v>
      </c>
      <c r="AE18" s="17">
        <f>IF(OR(F18="",F18=0),"",(M18/F18))</f>
        <v>6.365591397849462</v>
      </c>
      <c r="AF18" s="34">
        <f>IF(OR(AA18="",AA18=0,M18="",M18=0),"",(Q18/M18*9)/(AA18/100))</f>
        <v>3.2520564042303177</v>
      </c>
      <c r="AG18" s="34">
        <f>(1.19*AE18-0.056*AF18+1.71)*League!$AC$7</f>
        <v>9.2774208543363681</v>
      </c>
      <c r="AH18" s="17">
        <f>IF(OR(League!$M$6="",League!$M$6=0),"",(League!$P$6/League!$M$6*9))</f>
        <v>4.0449330200482132</v>
      </c>
      <c r="AI18" s="17">
        <f>IF(OR(F18="",F18=0,League!$G$6="",League!$G$6=0,League!$M$8="",League!$M$8=0,AA18="",AA18=0),"",((Q18/F18/(AA18/100)+(League!$M$6/League!$G$6-M18/F18)*(League!$P$8/League!$M$8))/(League!$M$6/League!$G$6)*9))</f>
        <v>3.4027823706314937</v>
      </c>
      <c r="AJ18" s="17">
        <f>IF(AH18="","",((AH18+AI18)^0.287))</f>
        <v>1.779387853583404</v>
      </c>
      <c r="AK18" s="21">
        <f>IF(AM18="","",(AM18*F18))</f>
        <v>17.865321468789972</v>
      </c>
      <c r="AL18" s="21">
        <f>IF(AK18="","",(F18-AK18))</f>
        <v>13.134678531210028</v>
      </c>
      <c r="AM18" s="20">
        <f>IF(AJ18="","",(AH18^AJ18/(AH18^AJ18+AI18^AJ18)))</f>
        <v>0.57630069254161198</v>
      </c>
      <c r="AN18" s="21">
        <f>IF(OR(AG18="",AG18=0),"",IF(((M18/AG18)&gt;=F18),AK18,IF(OR(AM18=1,(AK18-(F18-M18/AG18)*League!$AA$8)&gt;=AK18),AK18,IF(OR(AM18=0,(AK18-(F18-M18/AG18)*League!$AA$8)&lt;=0),0,(AK18-(F18-M18/AG18)*League!$AA$8)))))</f>
        <v>12.950178355945102</v>
      </c>
      <c r="AO18" s="21">
        <f>IF(OR(AG18="",AG18=0),"",IF((W18/AG18)&gt;=F18,AL18,(M18/AG18-AN18)))</f>
        <v>8.3201010063517522</v>
      </c>
      <c r="AP18" s="20">
        <f>IF(OR(AN18="",(AN18+AO18)=0),"",(AN18/(AN18+AO18)))</f>
        <v>0.6088391287845637</v>
      </c>
      <c r="AQ18" s="22">
        <f>IF(AN18="","",((C18-AN18)+(AO18-D18)))</f>
        <v>-0.63007734959334982</v>
      </c>
    </row>
    <row r="19" spans="1:43" x14ac:dyDescent="0.3">
      <c r="A19" s="15" t="s">
        <v>136</v>
      </c>
      <c r="B19" s="16" t="s">
        <v>104</v>
      </c>
      <c r="C19" s="16">
        <v>10</v>
      </c>
      <c r="D19" s="16">
        <v>14</v>
      </c>
      <c r="E19" s="17">
        <f>IF(OR(M19="",M19=0),"",(R19/M19*9))</f>
        <v>4.3709949409780782</v>
      </c>
      <c r="F19" s="16">
        <v>32</v>
      </c>
      <c r="G19" s="16">
        <v>32</v>
      </c>
      <c r="H19" s="16">
        <v>1</v>
      </c>
      <c r="I19" s="16">
        <v>1</v>
      </c>
      <c r="J19" s="16">
        <v>0</v>
      </c>
      <c r="K19" s="16">
        <v>0</v>
      </c>
      <c r="L19" s="16">
        <v>0</v>
      </c>
      <c r="M19" s="18">
        <f>IF(N19="","",(INT(N19)+(N19-INT(N19))*10/3))</f>
        <v>197.66666666666663</v>
      </c>
      <c r="N19" s="16">
        <v>197.2</v>
      </c>
      <c r="O19" s="16">
        <v>841</v>
      </c>
      <c r="P19" s="16">
        <v>184</v>
      </c>
      <c r="Q19" s="16">
        <v>102</v>
      </c>
      <c r="R19" s="16">
        <v>96</v>
      </c>
      <c r="S19" s="16">
        <v>21</v>
      </c>
      <c r="T19" s="16">
        <v>76</v>
      </c>
      <c r="U19" s="16">
        <v>8</v>
      </c>
      <c r="V19" s="16">
        <v>7</v>
      </c>
      <c r="W19" s="16">
        <v>11</v>
      </c>
      <c r="X19" s="16">
        <v>2</v>
      </c>
      <c r="Y19" s="16">
        <v>193</v>
      </c>
      <c r="Z19" s="17">
        <f>IF(OR(M19="",M19=0),"",((13*S19+3*(T19+V19)-2*Y19)/M19+League!$Y$2))</f>
        <v>3.7358812881087742</v>
      </c>
      <c r="AA19" s="16">
        <f>VLOOKUP(B19,BPF!$A$2:$B$31,2,FALSE)</f>
        <v>94</v>
      </c>
      <c r="AB19" s="19">
        <f>IF(OR(E19="",E19=0),"",(E19/(League!$E$6*AA19/100)*100))</f>
        <v>124.38320467585167</v>
      </c>
      <c r="AC19" s="19">
        <f>IF(OR(Z19="",Z19=0),"",(Z19/(League!$Y$6*AA19/100)*100))</f>
        <v>105.53803715159927</v>
      </c>
      <c r="AD19" s="20">
        <f>IF(OR((C19+D19)="",(C19+D19)=0),"",(C19/(C19+D19)))</f>
        <v>0.41666666666666669</v>
      </c>
      <c r="AE19" s="17">
        <f>IF(OR(F19="",F19=0),"",(M19/F19))</f>
        <v>6.1770833333333321</v>
      </c>
      <c r="AF19" s="34">
        <f>IF(OR(AA19="",AA19=0,M19="",M19=0),"",(Q19/M19*9)/(AA19/100))</f>
        <v>4.9406192816906476</v>
      </c>
      <c r="AG19" s="34">
        <f>(1.19*AE19-0.056*AF19+1.71)*League!$AC$7</f>
        <v>8.95242446645873</v>
      </c>
      <c r="AH19" s="17">
        <f>IF(OR(League!$M$6="",League!$M$6=0),"",(League!$P$6/League!$M$6*9))</f>
        <v>4.0449330200482132</v>
      </c>
      <c r="AI19" s="17">
        <f>IF(OR(F19="",F19=0,League!$G$6="",League!$G$6=0,League!$M$8="",League!$M$8=0,AA19="",AA19=0),"",((Q19/F19/(AA19/100)+(League!$M$6/League!$G$6-M19/F19)*(League!$P$8/League!$M$8))/(League!$M$6/League!$G$6)*9))</f>
        <v>4.5737410793456901</v>
      </c>
      <c r="AJ19" s="17">
        <f>IF(AH19="","",((AH19+AI19)^0.287))</f>
        <v>1.8555446605173671</v>
      </c>
      <c r="AK19" s="21">
        <f>IF(AM19="","",(AM19*F19))</f>
        <v>14.183984931985075</v>
      </c>
      <c r="AL19" s="21">
        <f>IF(AK19="","",(F19-AK19))</f>
        <v>17.816015068014927</v>
      </c>
      <c r="AM19" s="20">
        <f>IF(AJ19="","",(AH19^AJ19/(AH19^AJ19+AI19^AJ19)))</f>
        <v>0.44324952912453358</v>
      </c>
      <c r="AN19" s="21">
        <f>IF(OR(AG19="",AG19=0),"",IF(((M19/AG19)&gt;=F19),AK19,IF(OR(AM19=1,(AK19-(F19-M19/AG19)*League!$AA$8)&gt;=AK19),AK19,IF(OR(AM19=0,(AK19-(F19-M19/AG19)*League!$AA$8)&lt;=0),0,(AK19-(F19-M19/AG19)*League!$AA$8)))))</f>
        <v>9.172557084527817</v>
      </c>
      <c r="AO19" s="21">
        <f>IF(OR(AG19="",AG19=0),"",IF((W19/AG19)&gt;=F19,AL19,(M19/AG19-AN19)))</f>
        <v>12.907122828689786</v>
      </c>
      <c r="AP19" s="20">
        <f>IF(OR(AN19="",(AN19+AO19)=0),"",(AN19/(AN19+AO19)))</f>
        <v>0.41542980335674301</v>
      </c>
      <c r="AQ19" s="22">
        <f>IF(AN19="","",((C19-AN19)+(AO19-D19)))</f>
        <v>-0.26543425583803071</v>
      </c>
    </row>
    <row r="20" spans="1:43" x14ac:dyDescent="0.3">
      <c r="A20" s="15" t="s">
        <v>126</v>
      </c>
      <c r="B20" s="16" t="s">
        <v>103</v>
      </c>
      <c r="C20" s="16">
        <v>11</v>
      </c>
      <c r="D20" s="16">
        <v>13</v>
      </c>
      <c r="E20" s="17">
        <f>IF(OR(M20="",M20=0),"",(R20/M20*9))</f>
        <v>3.9328968903436996</v>
      </c>
      <c r="F20" s="16">
        <v>33</v>
      </c>
      <c r="G20" s="16">
        <v>33</v>
      </c>
      <c r="H20" s="16">
        <v>2</v>
      </c>
      <c r="I20" s="16">
        <v>0</v>
      </c>
      <c r="J20" s="16">
        <v>0</v>
      </c>
      <c r="K20" s="16">
        <v>0</v>
      </c>
      <c r="L20" s="16">
        <v>0</v>
      </c>
      <c r="M20" s="18">
        <f>IF(N20="","",(INT(N20)+(N20-INT(N20))*10/3))</f>
        <v>203.66666666666663</v>
      </c>
      <c r="N20" s="16">
        <v>203.2</v>
      </c>
      <c r="O20" s="16">
        <v>857</v>
      </c>
      <c r="P20" s="16">
        <v>219</v>
      </c>
      <c r="Q20" s="16">
        <v>97</v>
      </c>
      <c r="R20" s="16">
        <v>89</v>
      </c>
      <c r="S20" s="16">
        <v>18</v>
      </c>
      <c r="T20" s="16">
        <v>40</v>
      </c>
      <c r="U20" s="16">
        <v>2</v>
      </c>
      <c r="V20" s="16">
        <v>2</v>
      </c>
      <c r="W20" s="16">
        <v>2</v>
      </c>
      <c r="X20" s="16">
        <v>1</v>
      </c>
      <c r="Y20" s="16">
        <v>131</v>
      </c>
      <c r="Z20" s="17">
        <f>IF(OR(M20="",M20=0),"",((13*S20+3*(T20+V20)-2*Y20)/M20+League!$Y$2))</f>
        <v>3.5290327027305346</v>
      </c>
      <c r="AA20" s="16">
        <f>VLOOKUP(B20,BPF!$A$2:$B$31,2,FALSE)</f>
        <v>95</v>
      </c>
      <c r="AB20" s="19">
        <f>IF(OR(E20="",E20=0),"",(E20/(League!$E$6*AA20/100)*100))</f>
        <v>110.73840069462591</v>
      </c>
      <c r="AC20" s="19">
        <f>IF(OR(Z20="",Z20=0),"",(Z20/(League!$Y$6*AA20/100)*100))</f>
        <v>98.645181522270036</v>
      </c>
      <c r="AD20" s="20">
        <f>IF(OR((C20+D20)="",(C20+D20)=0),"",(C20/(C20+D20)))</f>
        <v>0.45833333333333331</v>
      </c>
      <c r="AE20" s="17">
        <f>IF(OR(F20="",F20=0),"",(M20/F20))</f>
        <v>6.1717171717171704</v>
      </c>
      <c r="AF20" s="34">
        <f>IF(OR(AA20="",AA20=0,M20="",M20=0),"",(Q20/M20*9)/(AA20/100))</f>
        <v>4.5120165388922402</v>
      </c>
      <c r="AG20" s="34">
        <f>(1.19*AE20-0.056*AF20+1.71)*League!$AC$7</f>
        <v>8.9703781460591578</v>
      </c>
      <c r="AH20" s="17">
        <f>IF(OR(League!$M$6="",League!$M$6=0),"",(League!$P$6/League!$M$6*9))</f>
        <v>4.0449330200482132</v>
      </c>
      <c r="AI20" s="17">
        <f>IF(OR(F20="",F20=0,League!$G$6="",League!$G$6=0,League!$M$8="",League!$M$8=0,AA20="",AA20=0),"",((Q20/F20/(AA20/100)+(League!$M$6/League!$G$6-M20/F20)*(League!$P$8/League!$M$8))/(League!$M$6/League!$G$6)*9))</f>
        <v>4.2788236553629631</v>
      </c>
      <c r="AJ20" s="17">
        <f>IF(AH20="","",((AH20+AI20)^0.287))</f>
        <v>1.8370951937817002</v>
      </c>
      <c r="AK20" s="21">
        <f>IF(AM20="","",(AM20*F20))</f>
        <v>15.648788107042595</v>
      </c>
      <c r="AL20" s="21">
        <f>IF(AK20="","",(F20-AK20))</f>
        <v>17.351211892957405</v>
      </c>
      <c r="AM20" s="20">
        <f>IF(AJ20="","",(AH20^AJ20/(AH20^AJ20+AI20^AJ20)))</f>
        <v>0.47420570021341196</v>
      </c>
      <c r="AN20" s="21">
        <f>IF(OR(AG20="",AG20=0),"",IF(((M20/AG20)&gt;=F20),AK20,IF(OR(AM20=1,(AK20-(F20-M20/AG20)*League!$AA$8)&gt;=AK20),AK20,IF(OR(AM20=0,(AK20-(F20-M20/AG20)*League!$AA$8)&lt;=0),0,(AK20-(F20-M20/AG20)*League!$AA$8)))))</f>
        <v>10.447759082862689</v>
      </c>
      <c r="AO20" s="21">
        <f>IF(OR(AG20="",AG20=0),"",IF((W20/AG20)&gt;=F20,AL20,(M20/AG20-AN20)))</f>
        <v>12.25659778487325</v>
      </c>
      <c r="AP20" s="20">
        <f>IF(OR(AN20="",(AN20+AO20)=0),"",(AN20/(AN20+AO20)))</f>
        <v>0.46016538339870322</v>
      </c>
      <c r="AQ20" s="22">
        <f>IF(AN20="","",((C20-AN20)+(AO20-D20)))</f>
        <v>-0.19116129798943859</v>
      </c>
    </row>
    <row r="21" spans="1:43" x14ac:dyDescent="0.3">
      <c r="A21" s="15" t="s">
        <v>122</v>
      </c>
      <c r="B21" s="16" t="s">
        <v>100</v>
      </c>
      <c r="C21" s="16">
        <v>14</v>
      </c>
      <c r="D21" s="16">
        <v>8</v>
      </c>
      <c r="E21" s="17">
        <f>IF(OR(M21="",M21=0),"",(R21/M21*9))</f>
        <v>2.8697604790419167</v>
      </c>
      <c r="F21" s="16">
        <v>31</v>
      </c>
      <c r="G21" s="16">
        <v>31</v>
      </c>
      <c r="H21" s="16">
        <v>2</v>
      </c>
      <c r="I21" s="16">
        <v>1</v>
      </c>
      <c r="J21" s="16">
        <v>0</v>
      </c>
      <c r="K21" s="16">
        <v>0</v>
      </c>
      <c r="L21" s="16">
        <v>0</v>
      </c>
      <c r="M21" s="18">
        <f>IF(N21="","",(INT(N21)+(N21-INT(N21))*10/3))</f>
        <v>222.66666666666663</v>
      </c>
      <c r="N21" s="16">
        <v>222.2</v>
      </c>
      <c r="O21" s="16">
        <v>876</v>
      </c>
      <c r="P21" s="16">
        <v>193</v>
      </c>
      <c r="Q21" s="16">
        <v>77</v>
      </c>
      <c r="R21" s="16">
        <v>71</v>
      </c>
      <c r="S21" s="16">
        <v>22</v>
      </c>
      <c r="T21" s="16">
        <v>32</v>
      </c>
      <c r="U21" s="16">
        <v>0</v>
      </c>
      <c r="V21" s="16">
        <v>4</v>
      </c>
      <c r="W21" s="16">
        <v>1</v>
      </c>
      <c r="X21" s="16">
        <v>0</v>
      </c>
      <c r="Y21" s="16">
        <v>222</v>
      </c>
      <c r="Z21" s="17">
        <f>IF(OR(M21="",M21=0),"",((13*S21+3*(T21+V21)-2*Y21)/M21+League!$Y$2))</f>
        <v>2.8233034084549287</v>
      </c>
      <c r="AA21" s="16">
        <f>VLOOKUP(B21,BPF!$A$2:$B$31,2,FALSE)</f>
        <v>101</v>
      </c>
      <c r="AB21" s="19">
        <f>IF(OR(E21="",E21=0),"",(E21/(League!$E$6*AA21/100)*100))</f>
        <v>76.003495831346896</v>
      </c>
      <c r="AC21" s="19">
        <f>IF(OR(Z21="",Z21=0),"",(Z21/(League!$Y$6*AA21/100)*100))</f>
        <v>74.230088336432772</v>
      </c>
      <c r="AD21" s="20">
        <f>IF(OR((C21+D21)="",(C21+D21)=0),"",(C21/(C21+D21)))</f>
        <v>0.63636363636363635</v>
      </c>
      <c r="AE21" s="17">
        <f>IF(OR(F21="",F21=0),"",(M21/F21))</f>
        <v>7.1827956989247301</v>
      </c>
      <c r="AF21" s="34">
        <f>IF(OR(AA21="",AA21=0,M21="",M21=0),"",(Q21/M21*9)/(AA21/100))</f>
        <v>3.0814608406948478</v>
      </c>
      <c r="AG21" s="34">
        <f>(1.19*AE21-0.056*AF21+1.71)*League!$AC$7</f>
        <v>10.278270497107023</v>
      </c>
      <c r="AH21" s="17">
        <f>IF(OR(League!$M$6="",League!$M$6=0),"",(League!$P$6/League!$M$6*9))</f>
        <v>4.0449330200482132</v>
      </c>
      <c r="AI21" s="17">
        <f>IF(OR(F21="",F21=0,League!$G$6="",League!$G$6=0,League!$M$8="",League!$M$8=0,AA21="",AA21=0),"",((Q21/F21/(AA21/100)+(League!$M$6/League!$G$6-M21/F21)*(League!$P$8/League!$M$8))/(League!$M$6/League!$G$6)*9))</f>
        <v>3.2195688220416332</v>
      </c>
      <c r="AJ21" s="17">
        <f>IF(AH21="","",((AH21+AI21)^0.287))</f>
        <v>1.7667132882278207</v>
      </c>
      <c r="AK21" s="21">
        <f>IF(AM21="","",(AM21*F21))</f>
        <v>18.583106369829729</v>
      </c>
      <c r="AL21" s="21">
        <f>IF(AK21="","",(F21-AK21))</f>
        <v>12.416893630170271</v>
      </c>
      <c r="AM21" s="20">
        <f>IF(AJ21="","",(AH21^AJ21/(AH21^AJ21+AI21^AJ21)))</f>
        <v>0.59945504418805573</v>
      </c>
      <c r="AN21" s="21">
        <f>IF(OR(AG21="",AG21=0),"",IF(((M21/AG21)&gt;=F21),AK21,IF(OR(AM21=1,(AK21-(F21-M21/AG21)*League!$AA$8)&gt;=AK21),AK21,IF(OR(AM21=0,(AK21-(F21-M21/AG21)*League!$AA$8)&lt;=0),0,(AK21-(F21-M21/AG21)*League!$AA$8)))))</f>
        <v>13.866770557826133</v>
      </c>
      <c r="AO21" s="21">
        <f>IF(OR(AG21="",AG21=0),"",IF((W21/AG21)&gt;=F21,AL21,(M21/AG21-AN21)))</f>
        <v>7.7970557375938583</v>
      </c>
      <c r="AP21" s="20">
        <f>IF(OR(AN21="",(AN21+AO21)=0),"",(AN21/(AN21+AO21)))</f>
        <v>0.6400887068023503</v>
      </c>
      <c r="AQ21" s="22">
        <f>IF(AN21="","",((C21-AN21)+(AO21-D21)))</f>
        <v>-6.9714820232274377E-2</v>
      </c>
    </row>
    <row r="22" spans="1:43" x14ac:dyDescent="0.3">
      <c r="A22" s="15" t="s">
        <v>134</v>
      </c>
      <c r="B22" s="16" t="s">
        <v>99</v>
      </c>
      <c r="C22" s="16">
        <v>12</v>
      </c>
      <c r="D22" s="16">
        <v>11</v>
      </c>
      <c r="E22" s="17">
        <f>IF(OR(M22="",M22=0),"",(R22/M22*9))</f>
        <v>3.6180904522613067</v>
      </c>
      <c r="F22" s="16">
        <v>32</v>
      </c>
      <c r="G22" s="16">
        <v>32</v>
      </c>
      <c r="H22" s="16">
        <v>2</v>
      </c>
      <c r="I22" s="16">
        <v>0</v>
      </c>
      <c r="J22" s="16">
        <v>0</v>
      </c>
      <c r="K22" s="16">
        <v>0</v>
      </c>
      <c r="L22" s="16">
        <v>0</v>
      </c>
      <c r="M22" s="18">
        <f>IF(N22="","",(INT(N22)+(N22-INT(N22))*10/3))</f>
        <v>199</v>
      </c>
      <c r="N22" s="16">
        <v>199</v>
      </c>
      <c r="O22" s="16">
        <v>841</v>
      </c>
      <c r="P22" s="16">
        <v>208</v>
      </c>
      <c r="Q22" s="16">
        <v>84</v>
      </c>
      <c r="R22" s="16">
        <v>80</v>
      </c>
      <c r="S22" s="16">
        <v>24</v>
      </c>
      <c r="T22" s="16">
        <v>47</v>
      </c>
      <c r="U22" s="16">
        <v>0</v>
      </c>
      <c r="V22" s="16">
        <v>7</v>
      </c>
      <c r="W22" s="16">
        <v>4</v>
      </c>
      <c r="X22" s="16">
        <v>0</v>
      </c>
      <c r="Y22" s="16">
        <v>142</v>
      </c>
      <c r="Z22" s="17">
        <f>IF(OR(M22="",M22=0),"",((13*S22+3*(T22+V22)-2*Y22)/M22+League!$Y$2))</f>
        <v>4.0026281760052553</v>
      </c>
      <c r="AA22" s="16">
        <f>VLOOKUP(B22,BPF!$A$2:$B$31,2,FALSE)</f>
        <v>96</v>
      </c>
      <c r="AB22" s="19">
        <f>IF(OR(E22="",E22=0),"",(E22/(League!$E$6*AA22/100)*100))</f>
        <v>100.81321821842609</v>
      </c>
      <c r="AC22" s="19">
        <f>IF(OR(Z22="",Z22=0),"",(Z22/(League!$Y$6*AA22/100)*100))</f>
        <v>110.71789337526164</v>
      </c>
      <c r="AD22" s="20">
        <f>IF(OR((C22+D22)="",(C22+D22)=0),"",(C22/(C22+D22)))</f>
        <v>0.52173913043478259</v>
      </c>
      <c r="AE22" s="17">
        <f>IF(OR(F22="",F22=0),"",(M22/F22))</f>
        <v>6.21875</v>
      </c>
      <c r="AF22" s="34">
        <f>IF(OR(AA22="",AA22=0,M22="",M22=0),"",(Q22/M22*9)/(AA22/100))</f>
        <v>3.9572864321608043</v>
      </c>
      <c r="AG22" s="34">
        <f>(1.19*AE22-0.056*AF22+1.71)*League!$AC$7</f>
        <v>9.0590803369641968</v>
      </c>
      <c r="AH22" s="17">
        <f>IF(OR(League!$M$6="",League!$M$6=0),"",(League!$P$6/League!$M$6*9))</f>
        <v>4.0449330200482132</v>
      </c>
      <c r="AI22" s="17">
        <f>IF(OR(F22="",F22=0,League!$G$6="",League!$G$6=0,League!$M$8="",League!$M$8=0,AA22="",AA22=0),"",((Q22/F22/(AA22/100)+(League!$M$6/League!$G$6-M22/F22)*(League!$P$8/League!$M$8))/(League!$M$6/League!$G$6)*9))</f>
        <v>3.8990135873022038</v>
      </c>
      <c r="AJ22" s="17">
        <f>IF(AH22="","",((AH22+AI22)^0.287))</f>
        <v>1.8126352560765091</v>
      </c>
      <c r="AK22" s="21">
        <f>IF(AM22="","",(AM22*F22))</f>
        <v>16.532593169955646</v>
      </c>
      <c r="AL22" s="21">
        <f>IF(AK22="","",(F22-AK22))</f>
        <v>15.467406830044354</v>
      </c>
      <c r="AM22" s="20">
        <f>IF(AJ22="","",(AH22^AJ22/(AH22^AJ22+AI22^AJ22)))</f>
        <v>0.51664353656111395</v>
      </c>
      <c r="AN22" s="21">
        <f>IF(OR(AG22="",AG22=0),"",IF(((M22/AG22)&gt;=F22),AK22,IF(OR(AM22=1,(AK22-(F22-M22/AG22)*League!$AA$8)&gt;=AK22),AK22,IF(OR(AM22=0,(AK22-(F22-M22/AG22)*League!$AA$8)&lt;=0),0,(AK22-(F22-M22/AG22)*League!$AA$8)))))</f>
        <v>11.464197439305806</v>
      </c>
      <c r="AO22" s="21">
        <f>IF(OR(AG22="",AG22=0),"",IF((W22/AG22)&gt;=F22,AL22,(M22/AG22-AN22)))</f>
        <v>10.502712290814461</v>
      </c>
      <c r="AP22" s="20">
        <f>IF(OR(AN22="",(AN22+AO22)=0),"",(AN22/(AN22+AO22)))</f>
        <v>0.52188485226879655</v>
      </c>
      <c r="AQ22" s="22">
        <f>IF(AN22="","",((C22-AN22)+(AO22-D22)))</f>
        <v>3.8514851508654857E-2</v>
      </c>
    </row>
    <row r="23" spans="1:43" x14ac:dyDescent="0.3">
      <c r="A23" s="15" t="s">
        <v>128</v>
      </c>
      <c r="B23" s="16" t="s">
        <v>98</v>
      </c>
      <c r="C23" s="16">
        <v>11</v>
      </c>
      <c r="D23" s="16">
        <v>8</v>
      </c>
      <c r="E23" s="17">
        <f>IF(OR(M23="",M23=0),"",(R23/M23*9))</f>
        <v>3.3577512776831351</v>
      </c>
      <c r="F23" s="16">
        <v>32</v>
      </c>
      <c r="G23" s="16">
        <v>32</v>
      </c>
      <c r="H23" s="16">
        <v>1</v>
      </c>
      <c r="I23" s="16">
        <v>1</v>
      </c>
      <c r="J23" s="16">
        <v>0</v>
      </c>
      <c r="K23" s="16">
        <v>0</v>
      </c>
      <c r="L23" s="16">
        <v>0</v>
      </c>
      <c r="M23" s="18">
        <f>IF(N23="","",(INT(N23)+(N23-INT(N23))*10/3))</f>
        <v>195.66666666666663</v>
      </c>
      <c r="N23" s="16">
        <v>195.2</v>
      </c>
      <c r="O23" s="16">
        <v>819</v>
      </c>
      <c r="P23" s="16">
        <v>169</v>
      </c>
      <c r="Q23" s="16">
        <v>79</v>
      </c>
      <c r="R23" s="16">
        <v>73</v>
      </c>
      <c r="S23" s="16">
        <v>17</v>
      </c>
      <c r="T23" s="16">
        <v>76</v>
      </c>
      <c r="U23" s="16">
        <v>1</v>
      </c>
      <c r="V23" s="16">
        <v>2</v>
      </c>
      <c r="W23" s="16">
        <v>4</v>
      </c>
      <c r="X23" s="16">
        <v>1</v>
      </c>
      <c r="Y23" s="16">
        <v>192</v>
      </c>
      <c r="Z23" s="17">
        <f>IF(OR(M23="",M23=0),"",((13*S23+3*(T23+V23)-2*Y23)/M23+League!$Y$2))</f>
        <v>3.4107163168799866</v>
      </c>
      <c r="AA23" s="16">
        <f>VLOOKUP(B23,BPF!$A$2:$B$31,2,FALSE)</f>
        <v>100</v>
      </c>
      <c r="AB23" s="19">
        <f>IF(OR(E23="",E23=0),"",(E23/(League!$E$6*AA23/100)*100))</f>
        <v>89.816848991698009</v>
      </c>
      <c r="AC23" s="19">
        <f>IF(OR(Z23="",Z23=0),"",(Z23/(League!$Y$6*AA23/100)*100))</f>
        <v>90.571048956930156</v>
      </c>
      <c r="AD23" s="20">
        <f>IF(OR((C23+D23)="",(C23+D23)=0),"",(C23/(C23+D23)))</f>
        <v>0.57894736842105265</v>
      </c>
      <c r="AE23" s="17">
        <f>IF(OR(F23="",F23=0),"",(M23/F23))</f>
        <v>6.1145833333333321</v>
      </c>
      <c r="AF23" s="34">
        <f>IF(OR(AA23="",AA23=0,M23="",M23=0),"",(Q23/M23*9)/(AA23/100))</f>
        <v>3.6337308347529822</v>
      </c>
      <c r="AG23" s="34">
        <f>(1.19*AE23-0.056*AF23+1.71)*League!$AC$7</f>
        <v>8.9512124243772355</v>
      </c>
      <c r="AH23" s="17">
        <f>IF(OR(League!$M$6="",League!$M$6=0),"",(League!$P$6/League!$M$6*9))</f>
        <v>4.0449330200482132</v>
      </c>
      <c r="AI23" s="17">
        <f>IF(OR(F23="",F23=0,League!$G$6="",League!$G$6=0,League!$M$8="",League!$M$8=0,AA23="",AA23=0),"",((Q23/F23/(AA23/100)+(League!$M$6/League!$G$6-M23/F23)*(League!$P$8/League!$M$8))/(League!$M$6/League!$G$6)*9))</f>
        <v>3.6767725986387423</v>
      </c>
      <c r="AJ23" s="17">
        <f>IF(AH23="","",((AH23+AI23)^0.287))</f>
        <v>1.7979338128622822</v>
      </c>
      <c r="AK23" s="21">
        <f>IF(AM23="","",(AM23*F23))</f>
        <v>17.369251947880866</v>
      </c>
      <c r="AL23" s="21">
        <f>IF(AK23="","",(F23-AK23))</f>
        <v>14.630748052119134</v>
      </c>
      <c r="AM23" s="20">
        <f>IF(AJ23="","",(AH23^AJ23/(AH23^AJ23+AI23^AJ23)))</f>
        <v>0.54278912337127705</v>
      </c>
      <c r="AN23" s="21">
        <f>IF(OR(AG23="",AG23=0),"",IF(((M23/AG23)&gt;=F23),AK23,IF(OR(AM23=1,(AK23-(F23-M23/AG23)*League!$AA$8)&gt;=AK23),AK23,IF(OR(AM23=0,(AK23-(F23-M23/AG23)*League!$AA$8)&lt;=0),0,(AK23-(F23-M23/AG23)*League!$AA$8)))))</f>
        <v>12.24646300014787</v>
      </c>
      <c r="AO23" s="21">
        <f>IF(OR(AG23="",AG23=0),"",IF((W23/AG23)&gt;=F23,AL23,(M23/AG23-AN23)))</f>
        <v>9.6127732005034403</v>
      </c>
      <c r="AP23" s="20">
        <f>IF(OR(AN23="",(AN23+AO23)=0),"",(AN23/(AN23+AO23)))</f>
        <v>0.56024203626030533</v>
      </c>
      <c r="AQ23" s="22">
        <f>IF(AN23="","",((C23-AN23)+(AO23-D23)))</f>
        <v>0.36631020035557071</v>
      </c>
    </row>
    <row r="24" spans="1:43" x14ac:dyDescent="0.3">
      <c r="A24" s="15" t="s">
        <v>138</v>
      </c>
      <c r="B24" s="16" t="s">
        <v>97</v>
      </c>
      <c r="C24" s="16">
        <v>11</v>
      </c>
      <c r="D24" s="16">
        <v>15</v>
      </c>
      <c r="E24" s="17">
        <f>IF(OR(M24="",M24=0),"",(R24/M24*9))</f>
        <v>4.36909090909091</v>
      </c>
      <c r="F24" s="16">
        <v>32</v>
      </c>
      <c r="G24" s="16">
        <v>32</v>
      </c>
      <c r="H24" s="16">
        <v>2</v>
      </c>
      <c r="I24" s="16">
        <v>1</v>
      </c>
      <c r="J24" s="16">
        <v>0</v>
      </c>
      <c r="K24" s="16">
        <v>0</v>
      </c>
      <c r="L24" s="16">
        <v>0</v>
      </c>
      <c r="M24" s="18">
        <f>IF(N24="","",(INT(N24)+(N24-INT(N24))*10/3))</f>
        <v>183.33333333333331</v>
      </c>
      <c r="N24" s="16">
        <v>183.1</v>
      </c>
      <c r="O24" s="16">
        <v>802</v>
      </c>
      <c r="P24" s="16">
        <v>187</v>
      </c>
      <c r="Q24" s="16">
        <v>107</v>
      </c>
      <c r="R24" s="16">
        <v>89</v>
      </c>
      <c r="S24" s="16">
        <v>19</v>
      </c>
      <c r="T24" s="16">
        <v>73</v>
      </c>
      <c r="U24" s="16">
        <v>3</v>
      </c>
      <c r="V24" s="16">
        <v>7</v>
      </c>
      <c r="W24" s="16">
        <v>12</v>
      </c>
      <c r="X24" s="16">
        <v>0</v>
      </c>
      <c r="Y24" s="16">
        <v>129</v>
      </c>
      <c r="Z24" s="17">
        <f>IF(OR(M24="",M24=0),"",((13*S24+3*(T24+V24)-2*Y24)/M24+League!$Y$2))</f>
        <v>4.2969452157494308</v>
      </c>
      <c r="AA24" s="16">
        <f>VLOOKUP(B24,BPF!$A$2:$B$31,2,FALSE)</f>
        <v>101</v>
      </c>
      <c r="AB24" s="19">
        <f>IF(OR(E24="",E24=0),"",(E24/(League!$E$6*AA24/100)*100))</f>
        <v>115.71215964571667</v>
      </c>
      <c r="AC24" s="19">
        <f>IF(OR(Z24="",Z24=0),"",(Z24/(League!$Y$6*AA24/100)*100))</f>
        <v>112.97497179605176</v>
      </c>
      <c r="AD24" s="20">
        <f>IF(OR((C24+D24)="",(C24+D24)=0),"",(C24/(C24+D24)))</f>
        <v>0.42307692307692307</v>
      </c>
      <c r="AE24" s="17">
        <f>IF(OR(F24="",F24=0),"",(M24/F24))</f>
        <v>5.7291666666666661</v>
      </c>
      <c r="AF24" s="34">
        <f>IF(OR(AA24="",AA24=0,M24="",M24=0),"",(Q24/M24*9)/(AA24/100))</f>
        <v>5.2007200720072015</v>
      </c>
      <c r="AG24" s="34">
        <f>(1.19*AE24-0.056*AF24+1.71)*League!$AC$7</f>
        <v>8.3943420243696565</v>
      </c>
      <c r="AH24" s="17">
        <f>IF(OR(League!$M$6="",League!$M$6=0),"",(League!$P$6/League!$M$6*9))</f>
        <v>4.0449330200482132</v>
      </c>
      <c r="AI24" s="17">
        <f>IF(OR(F24="",F24=0,League!$G$6="",League!$G$6=0,League!$M$8="",League!$M$8=0,AA24="",AA24=0),"",((Q24/F24/(AA24/100)+(League!$M$6/League!$G$6-M24/F24)*(League!$P$8/League!$M$8))/(League!$M$6/League!$G$6)*9))</f>
        <v>4.6810801423541832</v>
      </c>
      <c r="AJ24" s="17">
        <f>IF(AH24="","",((AH24+AI24)^0.287))</f>
        <v>1.8621478198031047</v>
      </c>
      <c r="AK24" s="21">
        <f>IF(AM24="","",(AM24*F24))</f>
        <v>13.837375706230343</v>
      </c>
      <c r="AL24" s="21">
        <f>IF(AK24="","",(F24-AK24))</f>
        <v>18.162624293769657</v>
      </c>
      <c r="AM24" s="20">
        <f>IF(AJ24="","",(AH24^AJ24/(AH24^AJ24+AI24^AJ24)))</f>
        <v>0.43241799081969823</v>
      </c>
      <c r="AN24" s="21">
        <f>IF(OR(AG24="",AG24=0),"",IF(((M24/AG24)&gt;=F24),AK24,IF(OR(AM24=1,(AK24-(F24-M24/AG24)*League!$AA$8)&gt;=AK24),AK24,IF(OR(AM24=0,(AK24-(F24-M24/AG24)*League!$AA$8)&lt;=0),0,(AK24-(F24-M24/AG24)*League!$AA$8)))))</f>
        <v>8.7049236198003257</v>
      </c>
      <c r="AO24" s="21">
        <f>IF(OR(AG24="",AG24=0),"",IF((W24/AG24)&gt;=F24,AL24,(M24/AG24-AN24)))</f>
        <v>13.135184014734627</v>
      </c>
      <c r="AP24" s="20">
        <f>IF(OR(AN24="",(AN24+AO24)=0),"",(AN24/(AN24+AO24)))</f>
        <v>0.3985751245124613</v>
      </c>
      <c r="AQ24" s="22">
        <f>IF(AN24="","",((C24-AN24)+(AO24-D24)))</f>
        <v>0.4302603949343009</v>
      </c>
    </row>
    <row r="25" spans="1:43" x14ac:dyDescent="0.3">
      <c r="A25" s="15" t="s">
        <v>114</v>
      </c>
      <c r="B25" s="16" t="s">
        <v>91</v>
      </c>
      <c r="C25" s="16">
        <v>13</v>
      </c>
      <c r="D25" s="16">
        <v>9</v>
      </c>
      <c r="E25" s="17">
        <f>IF(OR(M25="",M25=0),"",(R25/M25*9))</f>
        <v>3.2100977198697072</v>
      </c>
      <c r="F25" s="16">
        <v>32</v>
      </c>
      <c r="G25" s="16">
        <v>32</v>
      </c>
      <c r="H25" s="16">
        <v>1</v>
      </c>
      <c r="I25" s="16">
        <v>0</v>
      </c>
      <c r="J25" s="16">
        <v>0</v>
      </c>
      <c r="K25" s="16">
        <v>0</v>
      </c>
      <c r="L25" s="16">
        <v>0</v>
      </c>
      <c r="M25" s="18">
        <f>IF(N25="","",(INT(N25)+(N25-INT(N25))*10/3))</f>
        <v>204.66666666666663</v>
      </c>
      <c r="N25" s="16">
        <v>204.2</v>
      </c>
      <c r="O25" s="16">
        <v>820</v>
      </c>
      <c r="P25" s="16">
        <v>177</v>
      </c>
      <c r="Q25" s="16">
        <v>79</v>
      </c>
      <c r="R25" s="16">
        <v>73</v>
      </c>
      <c r="S25" s="16">
        <v>22</v>
      </c>
      <c r="T25" s="16">
        <v>46</v>
      </c>
      <c r="U25" s="16">
        <v>2</v>
      </c>
      <c r="V25" s="16">
        <v>1</v>
      </c>
      <c r="W25" s="16">
        <v>5</v>
      </c>
      <c r="X25" s="16">
        <v>0</v>
      </c>
      <c r="Y25" s="16">
        <v>181</v>
      </c>
      <c r="Z25" s="17">
        <f>IF(OR(M25="",M25=0),"",((13*S25+3*(T25+V25)-2*Y25)/M25+League!$Y$2))</f>
        <v>3.3654438832057525</v>
      </c>
      <c r="AA25" s="16">
        <f>VLOOKUP(B25,BPF!$A$2:$B$31,2,FALSE)</f>
        <v>99</v>
      </c>
      <c r="AB25" s="19">
        <f>IF(OR(E25="",E25=0),"",(E25/(League!$E$6*AA25/100)*100))</f>
        <v>86.734594081082378</v>
      </c>
      <c r="AC25" s="19">
        <f>IF(OR(Z25="",Z25=0),"",(Z25/(League!$Y$6*AA25/100)*100))</f>
        <v>90.271562041053741</v>
      </c>
      <c r="AD25" s="20">
        <f>IF(OR((C25+D25)="",(C25+D25)=0),"",(C25/(C25+D25)))</f>
        <v>0.59090909090909094</v>
      </c>
      <c r="AE25" s="17">
        <f>IF(OR(F25="",F25=0),"",(M25/F25))</f>
        <v>6.3958333333333321</v>
      </c>
      <c r="AF25" s="34">
        <f>IF(OR(AA25="",AA25=0,M25="",M25=0),"",(Q25/M25*9)/(AA25/100))</f>
        <v>3.509031684927451</v>
      </c>
      <c r="AG25" s="34">
        <f>(1.19*AE25-0.056*AF25+1.71)*League!$AC$7</f>
        <v>9.2994321118226733</v>
      </c>
      <c r="AH25" s="17">
        <f>IF(OR(League!$M$6="",League!$M$6=0),"",(League!$P$6/League!$M$6*9))</f>
        <v>4.0449330200482132</v>
      </c>
      <c r="AI25" s="17">
        <f>IF(OR(F25="",F25=0,League!$G$6="",League!$G$6=0,League!$M$8="",League!$M$8=0,AA25="",AA25=0),"",((Q25/F25/(AA25/100)+(League!$M$6/League!$G$6-M25/F25)*(League!$P$8/League!$M$8))/(League!$M$6/League!$G$6)*9))</f>
        <v>3.5838544248386315</v>
      </c>
      <c r="AJ25" s="17">
        <f>IF(AH25="","",((AH25+AI25)^0.287))</f>
        <v>1.7916976856278135</v>
      </c>
      <c r="AK25" s="21">
        <f>IF(AM25="","",(AM25*F25))</f>
        <v>17.727972138643217</v>
      </c>
      <c r="AL25" s="21">
        <f>IF(AK25="","",(F25-AK25))</f>
        <v>14.272027861356783</v>
      </c>
      <c r="AM25" s="20">
        <f>IF(AJ25="","",(AH25^AJ25/(AH25^AJ25+AI25^AJ25)))</f>
        <v>0.55399912933260054</v>
      </c>
      <c r="AN25" s="21">
        <f>IF(OR(AG25="",AG25=0),"",IF(((M25/AG25)&gt;=F25),AK25,IF(OR(AM25=1,(AK25-(F25-M25/AG25)*League!$AA$8)&gt;=AK25),AK25,IF(OR(AM25=0,(AK25-(F25-M25/AG25)*League!$AA$8)&lt;=0),0,(AK25-(F25-M25/AG25)*League!$AA$8)))))</f>
        <v>12.680592728636697</v>
      </c>
      <c r="AO25" s="21">
        <f>IF(OR(AG25="",AG25=0),"",IF((W25/AG25)&gt;=F25,AL25,(M25/AG25-AN25)))</f>
        <v>9.3279196413248187</v>
      </c>
      <c r="AP25" s="20">
        <f>IF(OR(AN25="",(AN25+AO25)=0),"",(AN25/(AN25+AO25)))</f>
        <v>0.57616764438581047</v>
      </c>
      <c r="AQ25" s="22">
        <f>IF(AN25="","",((C25-AN25)+(AO25-D25)))</f>
        <v>0.64732691268812204</v>
      </c>
    </row>
    <row r="26" spans="1:43" x14ac:dyDescent="0.3">
      <c r="A26" s="15" t="s">
        <v>127</v>
      </c>
      <c r="B26" s="16" t="s">
        <v>93</v>
      </c>
      <c r="C26" s="16">
        <v>14</v>
      </c>
      <c r="D26" s="16">
        <v>12</v>
      </c>
      <c r="E26" s="17">
        <f>IF(OR(M26="",M26=0),"",(R26/M26*9))</f>
        <v>3.7871287128712869</v>
      </c>
      <c r="F26" s="16">
        <v>32</v>
      </c>
      <c r="G26" s="16">
        <v>32</v>
      </c>
      <c r="H26" s="16">
        <v>2</v>
      </c>
      <c r="I26" s="16">
        <v>1</v>
      </c>
      <c r="J26" s="16">
        <v>0</v>
      </c>
      <c r="K26" s="16">
        <v>0</v>
      </c>
      <c r="L26" s="16">
        <v>0</v>
      </c>
      <c r="M26" s="18">
        <f>IF(N26="","",(INT(N26)+(N26-INT(N26))*10/3))</f>
        <v>202</v>
      </c>
      <c r="N26" s="16">
        <v>202</v>
      </c>
      <c r="O26" s="16">
        <v>823</v>
      </c>
      <c r="P26" s="16">
        <v>199</v>
      </c>
      <c r="Q26" s="16">
        <v>88</v>
      </c>
      <c r="R26" s="16">
        <v>85</v>
      </c>
      <c r="S26" s="16">
        <v>32</v>
      </c>
      <c r="T26" s="16">
        <v>34</v>
      </c>
      <c r="U26" s="16">
        <v>2</v>
      </c>
      <c r="V26" s="16">
        <v>7</v>
      </c>
      <c r="W26" s="16">
        <v>1</v>
      </c>
      <c r="X26" s="16">
        <v>2</v>
      </c>
      <c r="Y26" s="16">
        <v>124</v>
      </c>
      <c r="Z26" s="17">
        <f>IF(OR(M26="",M26=0),"",((13*S26+3*(T26+V26)-2*Y26)/M26+League!$Y$2))</f>
        <v>4.4884483660644623</v>
      </c>
      <c r="AA26" s="16">
        <f>VLOOKUP(B26,BPF!$A$2:$B$31,2,FALSE)</f>
        <v>101</v>
      </c>
      <c r="AB26" s="19">
        <f>IF(OR(E26="",E26=0),"",(E26/(League!$E$6*AA26/100)*100))</f>
        <v>100.29931886077897</v>
      </c>
      <c r="AC26" s="19">
        <f>IF(OR(Z26="",Z26=0),"",(Z26/(League!$Y$6*AA26/100)*100))</f>
        <v>118.00995872732507</v>
      </c>
      <c r="AD26" s="20">
        <f>IF(OR((C26+D26)="",(C26+D26)=0),"",(C26/(C26+D26)))</f>
        <v>0.53846153846153844</v>
      </c>
      <c r="AE26" s="17">
        <f>IF(OR(F26="",F26=0),"",(M26/F26))</f>
        <v>6.3125</v>
      </c>
      <c r="AF26" s="34">
        <f>IF(OR(AA26="",AA26=0,M26="",M26=0),"",(Q26/M26*9)/(AA26/100))</f>
        <v>3.8819723556514067</v>
      </c>
      <c r="AG26" s="34">
        <f>(1.19*AE26-0.056*AF26+1.71)*League!$AC$7</f>
        <v>9.1770796613802617</v>
      </c>
      <c r="AH26" s="17">
        <f>IF(OR(League!$M$6="",League!$M$6=0),"",(League!$P$6/League!$M$6*9))</f>
        <v>4.0449330200482132</v>
      </c>
      <c r="AI26" s="17">
        <f>IF(OR(F26="",F26=0,League!$G$6="",League!$G$6=0,League!$M$8="",League!$M$8=0,AA26="",AA26=0),"",((Q26/F26/(AA26/100)+(League!$M$6/League!$G$6-M26/F26)*(League!$P$8/League!$M$8))/(League!$M$6/League!$G$6)*9))</f>
        <v>3.8481051884891291</v>
      </c>
      <c r="AJ26" s="17">
        <f>IF(AH26="","",((AH26+AI26)^0.287))</f>
        <v>1.8092937662584787</v>
      </c>
      <c r="AK26" s="21">
        <f>IF(AM26="","",(AM26*F26))</f>
        <v>16.721550523052507</v>
      </c>
      <c r="AL26" s="21">
        <f>IF(AK26="","",(F26-AK26))</f>
        <v>15.278449476947493</v>
      </c>
      <c r="AM26" s="20">
        <f>IF(AJ26="","",(AH26^AJ26/(AH26^AJ26+AI26^AJ26)))</f>
        <v>0.52254845384539084</v>
      </c>
      <c r="AN26" s="21">
        <f>IF(OR(AG26="",AG26=0),"",IF(((M26/AG26)&gt;=F26),AK26,IF(OR(AM26=1,(AK26-(F26-M26/AG26)*League!$AA$8)&gt;=AK26),AK26,IF(OR(AM26=0,(AK26-(F26-M26/AG26)*League!$AA$8)&lt;=0),0,(AK26-(F26-M26/AG26)*League!$AA$8)))))</f>
        <v>11.675609414661995</v>
      </c>
      <c r="AO26" s="21">
        <f>IF(OR(AG26="",AG26=0),"",IF((W26/AG26)&gt;=F26,AL26,(M26/AG26-AN26)))</f>
        <v>10.335750130365486</v>
      </c>
      <c r="AP26" s="20">
        <f>IF(OR(AN26="",(AN26+AO26)=0),"",(AN26/(AN26+AO26)))</f>
        <v>0.53043563214611145</v>
      </c>
      <c r="AQ26" s="22">
        <f>IF(AN26="","",((C26-AN26)+(AO26-D26)))</f>
        <v>0.66014071570349131</v>
      </c>
    </row>
    <row r="27" spans="1:43" x14ac:dyDescent="0.3">
      <c r="A27" s="15" t="s">
        <v>140</v>
      </c>
      <c r="B27" s="16" t="s">
        <v>100</v>
      </c>
      <c r="C27" s="16">
        <v>10</v>
      </c>
      <c r="D27" s="16">
        <v>13</v>
      </c>
      <c r="E27" s="17">
        <f>IF(OR(M27="",M27=0),"",(R27/M27*9))</f>
        <v>4.697802197802198</v>
      </c>
      <c r="F27" s="16">
        <v>30</v>
      </c>
      <c r="G27" s="16">
        <v>30</v>
      </c>
      <c r="H27" s="16">
        <v>2</v>
      </c>
      <c r="I27" s="16">
        <v>1</v>
      </c>
      <c r="J27" s="16">
        <v>0</v>
      </c>
      <c r="K27" s="16">
        <v>0</v>
      </c>
      <c r="L27" s="16">
        <v>0</v>
      </c>
      <c r="M27" s="18">
        <f>IF(N27="","",(INT(N27)+(N27-INT(N27))*10/3))</f>
        <v>182</v>
      </c>
      <c r="N27" s="16">
        <v>182</v>
      </c>
      <c r="O27" s="16">
        <v>800</v>
      </c>
      <c r="P27" s="16">
        <v>207</v>
      </c>
      <c r="Q27" s="16">
        <v>104</v>
      </c>
      <c r="R27" s="16">
        <v>95</v>
      </c>
      <c r="S27" s="16">
        <v>18</v>
      </c>
      <c r="T27" s="16">
        <v>47</v>
      </c>
      <c r="U27" s="16">
        <v>4</v>
      </c>
      <c r="V27" s="16">
        <v>7</v>
      </c>
      <c r="W27" s="16">
        <v>3</v>
      </c>
      <c r="X27" s="16">
        <v>1</v>
      </c>
      <c r="Y27" s="16">
        <v>110</v>
      </c>
      <c r="Z27" s="17">
        <f>IF(OR(M27="",M27=0),"",((13*S27+3*(T27+V27)-2*Y27)/M27+League!$Y$2))</f>
        <v>4.014887273691488</v>
      </c>
      <c r="AA27" s="16">
        <f>VLOOKUP(B27,BPF!$A$2:$B$31,2,FALSE)</f>
        <v>101</v>
      </c>
      <c r="AB27" s="19">
        <f>IF(OR(E27="",E27=0),"",(E27/(League!$E$6*AA27/100)*100))</f>
        <v>124.4178363890335</v>
      </c>
      <c r="AC27" s="19">
        <f>IF(OR(Z27="",Z27=0),"",(Z27/(League!$Y$6*AA27/100)*100))</f>
        <v>105.5591248515636</v>
      </c>
      <c r="AD27" s="20">
        <f>IF(OR((C27+D27)="",(C27+D27)=0),"",(C27/(C27+D27)))</f>
        <v>0.43478260869565216</v>
      </c>
      <c r="AE27" s="17">
        <f>IF(OR(F27="",F27=0),"",(M27/F27))</f>
        <v>6.0666666666666664</v>
      </c>
      <c r="AF27" s="34">
        <f>IF(OR(AA27="",AA27=0,M27="",M27=0),"",(Q27/M27*9)/(AA27/100))</f>
        <v>5.091937765205091</v>
      </c>
      <c r="AG27" s="34">
        <f>(1.19*AE27-0.056*AF27+1.71)*League!$AC$7</f>
        <v>8.8098738204604636</v>
      </c>
      <c r="AH27" s="17">
        <f>IF(OR(League!$M$6="",League!$M$6=0),"",(League!$P$6/League!$M$6*9))</f>
        <v>4.0449330200482132</v>
      </c>
      <c r="AI27" s="17">
        <f>IF(OR(F27="",F27=0,League!$G$6="",League!$G$6=0,League!$M$8="",League!$M$8=0,AA27="",AA27=0),"",((Q27/F27/(AA27/100)+(League!$M$6/League!$G$6-M27/F27)*(League!$P$8/League!$M$8))/(League!$M$6/League!$G$6)*9))</f>
        <v>4.6614489785879245</v>
      </c>
      <c r="AJ27" s="17">
        <f>IF(AH27="","",((AH27+AI27)^0.287))</f>
        <v>1.8609445171990475</v>
      </c>
      <c r="AK27" s="21">
        <f>IF(AM27="","",(AM27*F27))</f>
        <v>13.031449018197732</v>
      </c>
      <c r="AL27" s="21">
        <f>IF(AK27="","",(F27-AK27))</f>
        <v>16.968550981802267</v>
      </c>
      <c r="AM27" s="20">
        <f>IF(AJ27="","",(AH27^AJ27/(AH27^AJ27+AI27^AJ27)))</f>
        <v>0.43438163393992441</v>
      </c>
      <c r="AN27" s="21">
        <f>IF(OR(AG27="",AG27=0),"",IF(((M27/AG27)&gt;=F27),AK27,IF(OR(AM27=1,(AK27-(F27-M27/AG27)*League!$AA$8)&gt;=AK27),AK27,IF(OR(AM27=0,(AK27-(F27-M27/AG27)*League!$AA$8)&lt;=0),0,(AK27-(F27-M27/AG27)*League!$AA$8)))))</f>
        <v>8.3124925848999425</v>
      </c>
      <c r="AO27" s="21">
        <f>IF(OR(AG27="",AG27=0),"",IF((W27/AG27)&gt;=F27,AL27,(M27/AG27-AN27)))</f>
        <v>12.346146086781673</v>
      </c>
      <c r="AP27" s="20">
        <f>IF(OR(AN27="",(AN27+AO27)=0),"",(AN27/(AN27+AO27)))</f>
        <v>0.40237368574989962</v>
      </c>
      <c r="AQ27" s="22">
        <f>IF(AN27="","",((C27-AN27)+(AO27-D27)))</f>
        <v>1.0336535018817301</v>
      </c>
    </row>
    <row r="28" spans="1:43" x14ac:dyDescent="0.3">
      <c r="A28" s="15" t="s">
        <v>135</v>
      </c>
      <c r="B28" s="16" t="s">
        <v>91</v>
      </c>
      <c r="C28" s="16">
        <v>15</v>
      </c>
      <c r="D28" s="16">
        <v>11</v>
      </c>
      <c r="E28" s="17">
        <f>IF(OR(M28="",M28=0),"",(R28/M28*9))</f>
        <v>3.1082474226804124</v>
      </c>
      <c r="F28" s="16">
        <v>31</v>
      </c>
      <c r="G28" s="16">
        <v>31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8">
        <f>IF(N28="","",(INT(N28)+(N28-INT(N28))*10/3))</f>
        <v>194</v>
      </c>
      <c r="N28" s="16">
        <v>194</v>
      </c>
      <c r="O28" s="16">
        <v>808</v>
      </c>
      <c r="P28" s="16">
        <v>190</v>
      </c>
      <c r="Q28" s="16">
        <v>76</v>
      </c>
      <c r="R28" s="16">
        <v>67</v>
      </c>
      <c r="S28" s="16">
        <v>17</v>
      </c>
      <c r="T28" s="16">
        <v>46</v>
      </c>
      <c r="U28" s="16">
        <v>1</v>
      </c>
      <c r="V28" s="16">
        <v>8</v>
      </c>
      <c r="W28" s="16">
        <v>2</v>
      </c>
      <c r="X28" s="16">
        <v>0</v>
      </c>
      <c r="Y28" s="16">
        <v>155</v>
      </c>
      <c r="Z28" s="17">
        <f>IF(OR(M28="",M28=0),"",((13*S28+3*(T28+V28)-2*Y28)/M28+League!$Y$2))</f>
        <v>3.4241429664523357</v>
      </c>
      <c r="AA28" s="16">
        <f>VLOOKUP(B28,BPF!$A$2:$B$31,2,FALSE)</f>
        <v>99</v>
      </c>
      <c r="AB28" s="19">
        <f>IF(OR(E28="",E28=0),"",(E28/(League!$E$6*AA28/100)*100))</f>
        <v>83.982670322166513</v>
      </c>
      <c r="AC28" s="19">
        <f>IF(OR(Z28="",Z28=0),"",(Z28/(League!$Y$6*AA28/100)*100))</f>
        <v>91.846052099107993</v>
      </c>
      <c r="AD28" s="20">
        <f>IF(OR((C28+D28)="",(C28+D28)=0),"",(C28/(C28+D28)))</f>
        <v>0.57692307692307687</v>
      </c>
      <c r="AE28" s="17">
        <f>IF(OR(F28="",F28=0),"",(M28/F28))</f>
        <v>6.258064516129032</v>
      </c>
      <c r="AF28" s="34">
        <f>IF(OR(AA28="",AA28=0,M28="",M28=0),"",(Q28/M28*9)/(AA28/100))</f>
        <v>3.5613870665417058</v>
      </c>
      <c r="AG28" s="34">
        <f>(1.19*AE28-0.056*AF28+1.71)*League!$AC$7</f>
        <v>9.1293566763482872</v>
      </c>
      <c r="AH28" s="17">
        <f>IF(OR(League!$M$6="",League!$M$6=0),"",(League!$P$6/League!$M$6*9))</f>
        <v>4.0449330200482132</v>
      </c>
      <c r="AI28" s="17">
        <f>IF(OR(F28="",F28=0,League!$G$6="",League!$G$6=0,League!$M$8="",League!$M$8=0,AA28="",AA28=0),"",((Q28/F28/(AA28/100)+(League!$M$6/League!$G$6-M28/F28)*(League!$P$8/League!$M$8))/(League!$M$6/League!$G$6)*9))</f>
        <v>3.6242696059675783</v>
      </c>
      <c r="AJ28" s="17">
        <f>IF(AH28="","",((AH28+AI28)^0.287))</f>
        <v>1.7944167351721001</v>
      </c>
      <c r="AK28" s="21">
        <f>IF(AM28="","",(AM28*F28))</f>
        <v>17.02220654409621</v>
      </c>
      <c r="AL28" s="21">
        <f>IF(AK28="","",(F28-AK28))</f>
        <v>13.97779345590379</v>
      </c>
      <c r="AM28" s="20">
        <f>IF(AJ28="","",(AH28^AJ28/(AH28^AJ28+AI28^AJ28)))</f>
        <v>0.54910343690632935</v>
      </c>
      <c r="AN28" s="21">
        <f>IF(OR(AG28="",AG28=0),"",IF(((M28/AG28)&gt;=F28),AK28,IF(OR(AM28=1,(AK28-(F28-M28/AG28)*League!$AA$8)&gt;=AK28),AK28,IF(OR(AM28=0,(AK28-(F28-M28/AG28)*League!$AA$8)&lt;=0),0,(AK28-(F28-M28/AG28)*League!$AA$8)))))</f>
        <v>12.096883723234932</v>
      </c>
      <c r="AO28" s="21">
        <f>IF(OR(AG28="",AG28=0),"",IF((W28/AG28)&gt;=F28,AL28,(M28/AG28-AN28)))</f>
        <v>9.15324450350003</v>
      </c>
      <c r="AP28" s="20">
        <f>IF(OR(AN28="",(AN28+AO28)=0),"",(AN28/(AN28+AO28)))</f>
        <v>0.5692616813490915</v>
      </c>
      <c r="AQ28" s="22">
        <f>IF(AN28="","",((C28-AN28)+(AO28-D28)))</f>
        <v>1.0563607802650985</v>
      </c>
    </row>
    <row r="29" spans="1:43" x14ac:dyDescent="0.3">
      <c r="A29" s="15" t="s">
        <v>108</v>
      </c>
      <c r="B29" s="16" t="s">
        <v>101</v>
      </c>
      <c r="C29" s="16">
        <v>10</v>
      </c>
      <c r="D29" s="16">
        <v>7</v>
      </c>
      <c r="E29" s="17">
        <f>IF(OR(M29="",M29=0),"",(R29/M29*9))</f>
        <v>3.5170340681362733</v>
      </c>
      <c r="F29" s="16">
        <v>30</v>
      </c>
      <c r="G29" s="16">
        <v>30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8">
        <f>IF(N29="","",(INT(N29)+(N29-INT(N29))*10/3))</f>
        <v>166.33333333333331</v>
      </c>
      <c r="N29" s="16">
        <v>166.1</v>
      </c>
      <c r="O29" s="16">
        <v>711</v>
      </c>
      <c r="P29" s="16">
        <v>146</v>
      </c>
      <c r="Q29" s="16">
        <v>69</v>
      </c>
      <c r="R29" s="16">
        <v>65</v>
      </c>
      <c r="S29" s="16">
        <v>11</v>
      </c>
      <c r="T29" s="16">
        <v>84</v>
      </c>
      <c r="U29" s="16">
        <v>4</v>
      </c>
      <c r="V29" s="16">
        <v>6</v>
      </c>
      <c r="W29" s="16">
        <v>8</v>
      </c>
      <c r="X29" s="16">
        <v>2</v>
      </c>
      <c r="Y29" s="16">
        <v>125</v>
      </c>
      <c r="Z29" s="17">
        <f>IF(OR(M29="",M29=0),"",((13*S29+3*(T29+V29)-2*Y29)/M29+League!$Y$2))</f>
        <v>4.0278142264982009</v>
      </c>
      <c r="AA29" s="16">
        <f>VLOOKUP(B29,BPF!$A$2:$B$31,2,FALSE)</f>
        <v>97</v>
      </c>
      <c r="AB29" s="19">
        <f>IF(OR(E29="",E29=0),"",(E29/(League!$E$6*AA29/100)*100))</f>
        <v>96.987135499023395</v>
      </c>
      <c r="AC29" s="19">
        <f>IF(OR(Z29="",Z29=0),"",(Z29/(League!$Y$6*AA29/100)*100))</f>
        <v>110.26596840232408</v>
      </c>
      <c r="AD29" s="20">
        <f>IF(OR((C29+D29)="",(C29+D29)=0),"",(C29/(C29+D29)))</f>
        <v>0.58823529411764708</v>
      </c>
      <c r="AE29" s="17">
        <f>IF(OR(F29="",F29=0),"",(M29/F29))</f>
        <v>5.5444444444444434</v>
      </c>
      <c r="AF29" s="34">
        <f>IF(OR(AA29="",AA29=0,M29="",M29=0),"",(Q29/M29*9)/(AA29/100))</f>
        <v>3.8489349833687996</v>
      </c>
      <c r="AG29" s="34">
        <f>(1.19*AE29-0.056*AF29+1.71)*League!$AC$7</f>
        <v>8.2474601082656989</v>
      </c>
      <c r="AH29" s="17">
        <f>IF(OR(League!$M$6="",League!$M$6=0),"",(League!$P$6/League!$M$6*9))</f>
        <v>4.0449330200482132</v>
      </c>
      <c r="AI29" s="17">
        <f>IF(OR(F29="",F29=0,League!$G$6="",League!$G$6=0,League!$M$8="",League!$M$8=0,AA29="",AA29=0),"",((Q29/F29/(AA29/100)+(League!$M$6/League!$G$6-M29/F29)*(League!$P$8/League!$M$8))/(League!$M$6/League!$G$6)*9))</f>
        <v>3.8180188753798086</v>
      </c>
      <c r="AJ29" s="17">
        <f>IF(AH29="","",((AH29+AI29)^0.287))</f>
        <v>1.807311751914157</v>
      </c>
      <c r="AK29" s="21">
        <f>IF(AM29="","",(AM29*F29))</f>
        <v>15.781856614244091</v>
      </c>
      <c r="AL29" s="21">
        <f>IF(AK29="","",(F29-AK29))</f>
        <v>14.218143385755909</v>
      </c>
      <c r="AM29" s="20">
        <f>IF(AJ29="","",(AH29^AJ29/(AH29^AJ29+AI29^AJ29)))</f>
        <v>0.52606188714146973</v>
      </c>
      <c r="AN29" s="21">
        <f>IF(OR(AG29="",AG29=0),"",IF(((M29/AG29)&gt;=F29),AK29,IF(OR(AM29=1,(AK29-(F29-M29/AG29)*League!$AA$8)&gt;=AK29),AK29,IF(OR(AM29=0,(AK29-(F29-M29/AG29)*League!$AA$8)&lt;=0),0,(AK29-(F29-M29/AG29)*League!$AA$8)))))</f>
        <v>10.814956912334019</v>
      </c>
      <c r="AO29" s="21">
        <f>IF(OR(AG29="",AG29=0),"",IF((W29/AG29)&gt;=F29,AL29,(M29/AG29-AN29)))</f>
        <v>9.3528682301764796</v>
      </c>
      <c r="AP29" s="20">
        <f>IF(OR(AN29="",(AN29+AO29)=0),"",(AN29/(AN29+AO29)))</f>
        <v>0.53624805034320966</v>
      </c>
      <c r="AQ29" s="22">
        <f>IF(AN29="","",((C29-AN29)+(AO29-D29)))</f>
        <v>1.537911317842461</v>
      </c>
    </row>
    <row r="30" spans="1:43" x14ac:dyDescent="0.3">
      <c r="A30" s="15" t="s">
        <v>117</v>
      </c>
      <c r="B30" s="16" t="s">
        <v>96</v>
      </c>
      <c r="C30" s="16">
        <v>14</v>
      </c>
      <c r="D30" s="16">
        <v>8</v>
      </c>
      <c r="E30" s="17">
        <f>IF(OR(M30="",M30=0),"",(R30/M30*9))</f>
        <v>3</v>
      </c>
      <c r="F30" s="16">
        <v>30</v>
      </c>
      <c r="G30" s="16">
        <v>30</v>
      </c>
      <c r="H30" s="16">
        <v>2</v>
      </c>
      <c r="I30" s="16">
        <v>1</v>
      </c>
      <c r="J30" s="16">
        <v>0</v>
      </c>
      <c r="K30" s="16">
        <v>0</v>
      </c>
      <c r="L30" s="16">
        <v>0</v>
      </c>
      <c r="M30" s="18">
        <f>IF(N30="","",(INT(N30)+(N30-INT(N30))*10/3))</f>
        <v>192</v>
      </c>
      <c r="N30" s="16">
        <v>192</v>
      </c>
      <c r="O30" s="16">
        <v>783</v>
      </c>
      <c r="P30" s="16">
        <v>182</v>
      </c>
      <c r="Q30" s="16">
        <v>67</v>
      </c>
      <c r="R30" s="16">
        <v>64</v>
      </c>
      <c r="S30" s="16">
        <v>15</v>
      </c>
      <c r="T30" s="16">
        <v>49</v>
      </c>
      <c r="U30" s="16">
        <v>4</v>
      </c>
      <c r="V30" s="16">
        <v>1</v>
      </c>
      <c r="W30" s="16">
        <v>5</v>
      </c>
      <c r="X30" s="16">
        <v>0</v>
      </c>
      <c r="Y30" s="16">
        <v>154</v>
      </c>
      <c r="Z30" s="17">
        <f>IF(OR(M30="",M30=0),"",((13*S30+3*(T30+V30)-2*Y30)/M30+League!$Y$2))</f>
        <v>3.2405626399918548</v>
      </c>
      <c r="AA30" s="16">
        <f>VLOOKUP(B30,BPF!$A$2:$B$31,2,FALSE)</f>
        <v>95</v>
      </c>
      <c r="AB30" s="19">
        <f>IF(OR(E30="",E30=0),"",(E30/(League!$E$6*AA30/100)*100))</f>
        <v>84.470864949333844</v>
      </c>
      <c r="AC30" s="19">
        <f>IF(OR(Z30="",Z30=0),"",(Z30/(League!$Y$6*AA30/100)*100))</f>
        <v>90.581730684713278</v>
      </c>
      <c r="AD30" s="20">
        <f>IF(OR((C30+D30)="",(C30+D30)=0),"",(C30/(C30+D30)))</f>
        <v>0.63636363636363635</v>
      </c>
      <c r="AE30" s="17">
        <f>IF(OR(F30="",F30=0),"",(M30/F30))</f>
        <v>6.4</v>
      </c>
      <c r="AF30" s="34">
        <f>IF(OR(AA30="",AA30=0,M30="",M30=0),"",(Q30/M30*9)/(AA30/100))</f>
        <v>3.3059210526315792</v>
      </c>
      <c r="AG30" s="34">
        <f>(1.19*AE30-0.056*AF30+1.71)*League!$AC$7</f>
        <v>9.3160776973124193</v>
      </c>
      <c r="AH30" s="17">
        <f>IF(OR(League!$M$6="",League!$M$6=0),"",(League!$P$6/League!$M$6*9))</f>
        <v>4.0449330200482132</v>
      </c>
      <c r="AI30" s="17">
        <f>IF(OR(F30="",F30=0,League!$G$6="",League!$G$6=0,League!$M$8="",League!$M$8=0,AA30="",AA30=0),"",((Q30/F30/(AA30/100)+(League!$M$6/League!$G$6-M30/F30)*(League!$P$8/League!$M$8))/(League!$M$6/League!$G$6)*9))</f>
        <v>3.4391501997950358</v>
      </c>
      <c r="AJ30" s="17">
        <f>IF(AH30="","",((AH30+AI30)^0.287))</f>
        <v>1.7818772395792977</v>
      </c>
      <c r="AK30" s="21">
        <f>IF(AM30="","",(AM30*F30))</f>
        <v>17.153220677769827</v>
      </c>
      <c r="AL30" s="21">
        <f>IF(AK30="","",(F30-AK30))</f>
        <v>12.846779322230173</v>
      </c>
      <c r="AM30" s="20">
        <f>IF(AJ30="","",(AH30^AJ30/(AH30^AJ30+AI30^AJ30)))</f>
        <v>0.57177402259232757</v>
      </c>
      <c r="AN30" s="21">
        <f>IF(OR(AG30="",AG30=0),"",IF(((M30/AG30)&gt;=F30),AK30,IF(OR(AM30=1,(AK30-(F30-M30/AG30)*League!$AA$8)&gt;=AK30),AK30,IF(OR(AM30=0,(AK30-(F30-M30/AG30)*League!$AA$8)&lt;=0),0,(AK30-(F30-M30/AG30)*League!$AA$8)))))</f>
        <v>12.409457050531479</v>
      </c>
      <c r="AO30" s="21">
        <f>IF(OR(AG30="",AG30=0),"",IF((W30/AG30)&gt;=F30,AL30,(M30/AG30-AN30)))</f>
        <v>8.2000747973394112</v>
      </c>
      <c r="AP30" s="20">
        <f>IF(OR(AN30="",(AN30+AO30)=0),"",(AN30/(AN30+AO30)))</f>
        <v>0.60212221908444097</v>
      </c>
      <c r="AQ30" s="22">
        <f>IF(AN30="","",((C30-AN30)+(AO30-D30)))</f>
        <v>1.7906177468079321</v>
      </c>
    </row>
    <row r="31" spans="1:43" x14ac:dyDescent="0.3">
      <c r="A31" s="15" t="s">
        <v>107</v>
      </c>
      <c r="B31" s="16" t="s">
        <v>90</v>
      </c>
      <c r="C31" s="16">
        <v>14</v>
      </c>
      <c r="D31" s="16">
        <v>8</v>
      </c>
      <c r="E31" s="17">
        <f>IF(OR(M31="",M31=0),"",(R31/M31*9))</f>
        <v>3.4128000000000003</v>
      </c>
      <c r="F31" s="16">
        <v>32</v>
      </c>
      <c r="G31" s="16">
        <v>32</v>
      </c>
      <c r="H31" s="16">
        <v>3</v>
      </c>
      <c r="I31" s="16">
        <v>0</v>
      </c>
      <c r="J31" s="16">
        <v>0</v>
      </c>
      <c r="K31" s="16">
        <v>0</v>
      </c>
      <c r="L31" s="16">
        <v>0</v>
      </c>
      <c r="M31" s="18">
        <f>IF(N31="","",(INT(N31)+(N31-INT(N31))*10/3))</f>
        <v>208.33333333333331</v>
      </c>
      <c r="N31" s="16">
        <v>208.1</v>
      </c>
      <c r="O31" s="16">
        <v>860</v>
      </c>
      <c r="P31" s="16">
        <v>189</v>
      </c>
      <c r="Q31" s="16">
        <v>81</v>
      </c>
      <c r="R31" s="16">
        <v>79</v>
      </c>
      <c r="S31" s="16">
        <v>19</v>
      </c>
      <c r="T31" s="16">
        <v>54</v>
      </c>
      <c r="U31" s="16">
        <v>1</v>
      </c>
      <c r="V31" s="16">
        <v>9</v>
      </c>
      <c r="W31" s="16">
        <v>13</v>
      </c>
      <c r="X31" s="16">
        <v>0</v>
      </c>
      <c r="Y31" s="16">
        <v>178</v>
      </c>
      <c r="Z31" s="17">
        <f>IF(OR(M31="",M31=0),"",((13*S31+3*(T31+V31)-2*Y31)/M31+League!$Y$2))</f>
        <v>3.4318543066585212</v>
      </c>
      <c r="AA31" s="16">
        <f>VLOOKUP(B31,BPF!$A$2:$B$31,2,FALSE)</f>
        <v>104</v>
      </c>
      <c r="AB31" s="19">
        <f>IF(OR(E31="",E31=0),"",(E31/(League!$E$6*AA31/100)*100))</f>
        <v>87.778224200042402</v>
      </c>
      <c r="AC31" s="19">
        <f>IF(OR(Z31="",Z31=0),"",(Z31/(League!$Y$6*AA31/100)*100))</f>
        <v>87.627274072307898</v>
      </c>
      <c r="AD31" s="20">
        <f>IF(OR((C31+D31)="",(C31+D31)=0),"",(C31/(C31+D31)))</f>
        <v>0.63636363636363635</v>
      </c>
      <c r="AE31" s="17">
        <f>IF(OR(F31="",F31=0),"",(M31/F31))</f>
        <v>6.5104166666666661</v>
      </c>
      <c r="AF31" s="34">
        <f>IF(OR(AA31="",AA31=0,M31="",M31=0),"",(Q31/M31*9)/(AA31/100))</f>
        <v>3.3646153846153846</v>
      </c>
      <c r="AG31" s="34">
        <f>(1.19*AE31-0.056*AF31+1.71)*League!$AC$7</f>
        <v>9.4466421999243551</v>
      </c>
      <c r="AH31" s="17">
        <f>IF(OR(League!$M$6="",League!$M$6=0),"",(League!$P$6/League!$M$6*9))</f>
        <v>4.0449330200482132</v>
      </c>
      <c r="AI31" s="17">
        <f>IF(OR(F31="",F31=0,League!$G$6="",League!$G$6=0,League!$M$8="",League!$M$8=0,AA31="",AA31=0),"",((Q31/F31/(AA31/100)+(League!$M$6/League!$G$6-M31/F31)*(League!$P$8/League!$M$8))/(League!$M$6/League!$G$6)*9))</f>
        <v>3.4759741941179092</v>
      </c>
      <c r="AJ31" s="17">
        <f>IF(AH31="","",((AH31+AI31)^0.287))</f>
        <v>1.7843890776618723</v>
      </c>
      <c r="AK31" s="21">
        <f>IF(AM31="","",(AM31*F31))</f>
        <v>18.150868690671203</v>
      </c>
      <c r="AL31" s="21">
        <f>IF(AK31="","",(F31-AK31))</f>
        <v>13.849131309328797</v>
      </c>
      <c r="AM31" s="20">
        <f>IF(AJ31="","",(AH31^AJ31/(AH31^AJ31+AI31^AJ31)))</f>
        <v>0.56721464658347509</v>
      </c>
      <c r="AN31" s="21">
        <f>IF(OR(AG31="",AG31=0),"",IF(((M31/AG31)&gt;=F31),AK31,IF(OR(AM31=1,(AK31-(F31-M31/AG31)*League!$AA$8)&gt;=AK31),AK31,IF(OR(AM31=0,(AK31-(F31-M31/AG31)*League!$AA$8)&lt;=0),0,(AK31-(F31-M31/AG31)*League!$AA$8)))))</f>
        <v>13.126312358721599</v>
      </c>
      <c r="AO31" s="21">
        <f>IF(OR(AG31="",AG31=0),"",IF((W31/AG31)&gt;=F31,AL31,(M31/AG31-AN31)))</f>
        <v>8.9273791990047613</v>
      </c>
      <c r="AP31" s="20">
        <f>IF(OR(AN31="",(AN31+AO31)=0),"",(AN31/(AN31+AO31)))</f>
        <v>0.59519796603498265</v>
      </c>
      <c r="AQ31" s="22">
        <f>IF(AN31="","",((C31-AN31)+(AO31-D31)))</f>
        <v>1.8010668402831627</v>
      </c>
    </row>
    <row r="32" spans="1:43" x14ac:dyDescent="0.3">
      <c r="A32" s="15" t="s">
        <v>142</v>
      </c>
      <c r="B32" s="16" t="s">
        <v>55</v>
      </c>
      <c r="C32" s="16">
        <v>7</v>
      </c>
      <c r="D32" s="16">
        <v>10</v>
      </c>
      <c r="E32" s="17">
        <f>IF(OR(M32="",M32=0),"",(R32/M32*9))</f>
        <v>4.913602941176471</v>
      </c>
      <c r="F32" s="16">
        <v>31</v>
      </c>
      <c r="G32" s="16">
        <v>31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8">
        <f>IF(N32="","",(INT(N32)+(N32-INT(N32))*10/3))</f>
        <v>181.33333333333331</v>
      </c>
      <c r="N32" s="16">
        <v>181.1</v>
      </c>
      <c r="O32" s="16">
        <v>794</v>
      </c>
      <c r="P32" s="16">
        <v>180</v>
      </c>
      <c r="Q32" s="16">
        <v>108</v>
      </c>
      <c r="R32" s="16">
        <v>99</v>
      </c>
      <c r="S32" s="16">
        <v>27</v>
      </c>
      <c r="T32" s="16">
        <v>73</v>
      </c>
      <c r="U32" s="16">
        <v>1</v>
      </c>
      <c r="V32" s="16">
        <v>12</v>
      </c>
      <c r="W32" s="16">
        <v>10</v>
      </c>
      <c r="X32" s="16">
        <v>1</v>
      </c>
      <c r="Y32" s="16">
        <v>163</v>
      </c>
      <c r="Z32" s="17">
        <f>IF(OR(M32="",M32=0),"",((13*S32+3*(T32+V32)-2*Y32)/M32+League!$Y$2))</f>
        <v>4.5919719537173451</v>
      </c>
      <c r="AA32" s="23">
        <f>124/M32*BPF!B16+172/(M32*3)*BPF!B30</f>
        <v>101.15441176470588</v>
      </c>
      <c r="AB32" s="19">
        <f>IF(OR(E32="",E32=0),"",(E32/(League!$E$6*AA32/100)*100))</f>
        <v>129.93451267784334</v>
      </c>
      <c r="AC32" s="19">
        <f>IF(OR(Z32="",Z32=0),"",(Z32/(League!$Y$6*AA32/100)*100))</f>
        <v>120.547496829851</v>
      </c>
      <c r="AD32" s="20">
        <f>IF(OR((C32+D32)="",(C32+D32)=0),"",(C32/(C32+D32)))</f>
        <v>0.41176470588235292</v>
      </c>
      <c r="AE32" s="17">
        <f>IF(OR(F32="",F32=0),"",(M32/F32))</f>
        <v>5.8494623655913971</v>
      </c>
      <c r="AF32" s="34">
        <f>IF(OR(AA32="",AA32=0,M32="",M32=0),"",(Q32/M32*9)/(AA32/100))</f>
        <v>5.2991204477720446</v>
      </c>
      <c r="AG32" s="34">
        <f>(1.19*AE32-0.056*AF32+1.71)*League!$AC$7</f>
        <v>8.5346217530539494</v>
      </c>
      <c r="AH32" s="17">
        <f>IF(OR(League!$M$6="",League!$M$6=0),"",(League!$P$6/League!$M$6*9))</f>
        <v>4.0449330200482132</v>
      </c>
      <c r="AI32" s="17">
        <f>IF(OR(F32="",F32=0,League!$G$6="",League!$G$6=0,League!$M$8="",League!$M$8=0,AA32="",AA32=0),"",((Q32/F32/(AA32/100)+(League!$M$6/League!$G$6-M32/F32)*(League!$P$8/League!$M$8))/(League!$M$6/League!$G$6)*9))</f>
        <v>4.7642669944471194</v>
      </c>
      <c r="AJ32" s="17">
        <f>IF(AH32="","",((AH32+AI32)^0.287))</f>
        <v>1.8672254887794633</v>
      </c>
      <c r="AK32" s="21">
        <f>IF(AM32="","",(AM32*F32))</f>
        <v>13.149672173540846</v>
      </c>
      <c r="AL32" s="21">
        <f>IF(AK32="","",(F32-AK32))</f>
        <v>17.850327826459154</v>
      </c>
      <c r="AM32" s="20">
        <f>IF(AJ32="","",(AH32^AJ32/(AH32^AJ32+AI32^AJ32)))</f>
        <v>0.4241829733400273</v>
      </c>
      <c r="AN32" s="21">
        <f>IF(OR(AG32="",AG32=0),"",IF(((M32/AG32)&gt;=F32),AK32,IF(OR(AM32=1,(AK32-(F32-M32/AG32)*League!$AA$8)&gt;=AK32),AK32,IF(OR(AM32=0,(AK32-(F32-M32/AG32)*League!$AA$8)&lt;=0),0,(AK32-(F32-M32/AG32)*League!$AA$8)))))</f>
        <v>8.2226640065620664</v>
      </c>
      <c r="AO32" s="21">
        <f>IF(OR(AG32="",AG32=0),"",IF((W32/AG32)&gt;=F32,AL32,(M32/AG32-AN32)))</f>
        <v>13.024128010722904</v>
      </c>
      <c r="AP32" s="20">
        <f>IF(OR(AN32="",(AN32+AO32)=0),"",(AN32/(AN32+AO32)))</f>
        <v>0.38700731855767478</v>
      </c>
      <c r="AQ32" s="22">
        <f>IF(AN32="","",((C32-AN32)+(AO32-D32)))</f>
        <v>1.8014640041608381</v>
      </c>
    </row>
    <row r="33" spans="1:43" x14ac:dyDescent="0.3">
      <c r="A33" s="15" t="s">
        <v>129</v>
      </c>
      <c r="B33" s="16" t="s">
        <v>55</v>
      </c>
      <c r="C33" s="16">
        <v>13</v>
      </c>
      <c r="D33" s="16">
        <v>11</v>
      </c>
      <c r="E33" s="17">
        <f>IF(OR(M33="",M33=0),"",(R33/M33*9))</f>
        <v>3.7210084033613446</v>
      </c>
      <c r="F33" s="16">
        <v>33</v>
      </c>
      <c r="G33" s="16">
        <v>33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8">
        <f>IF(N33="","",(INT(N33)+(N33-INT(N33))*10/3))</f>
        <v>198.33333333333331</v>
      </c>
      <c r="N33" s="16">
        <v>198.1</v>
      </c>
      <c r="O33" s="16">
        <v>831</v>
      </c>
      <c r="P33" s="16">
        <v>194</v>
      </c>
      <c r="Q33" s="16">
        <v>90</v>
      </c>
      <c r="R33" s="16">
        <v>82</v>
      </c>
      <c r="S33" s="16">
        <v>17</v>
      </c>
      <c r="T33" s="16">
        <v>46</v>
      </c>
      <c r="U33" s="16">
        <v>1</v>
      </c>
      <c r="V33" s="16">
        <v>10</v>
      </c>
      <c r="W33" s="16">
        <v>5</v>
      </c>
      <c r="X33" s="16">
        <v>0</v>
      </c>
      <c r="Y33" s="16">
        <v>164</v>
      </c>
      <c r="Z33" s="17">
        <f>IF(OR(M33="",M33=0),"",((13*S33+3*(T33+V33)-2*Y33)/M33+League!$Y$2))</f>
        <v>3.3554173318686056</v>
      </c>
      <c r="AA33" s="23">
        <f>337/(M33*3)*BPF!B21+86/M33*BPF!B23</f>
        <v>98.398319327731087</v>
      </c>
      <c r="AB33" s="19">
        <f>IF(OR(E33="",E33=0),"",(E33/(League!$E$6*AA33/100)*100))</f>
        <v>101.15381388624176</v>
      </c>
      <c r="AC33" s="19">
        <f>IF(OR(Z33="",Z33=0),"",(Z33/(League!$Y$6*AA33/100)*100))</f>
        <v>90.552962180290805</v>
      </c>
      <c r="AD33" s="20">
        <f>IF(OR((C33+D33)="",(C33+D33)=0),"",(C33/(C33+D33)))</f>
        <v>0.54166666666666663</v>
      </c>
      <c r="AE33" s="17">
        <f>IF(OR(F33="",F33=0),"",(M33/F33))</f>
        <v>6.0101010101010095</v>
      </c>
      <c r="AF33" s="34">
        <f>IF(OR(AA33="",AA33=0,M33="",M33=0),"",(Q33/M33*9)/(AA33/100))</f>
        <v>4.1505115548192055</v>
      </c>
      <c r="AG33" s="34">
        <f>(1.19*AE33-0.056*AF33+1.71)*League!$AC$7</f>
        <v>8.7950008378668301</v>
      </c>
      <c r="AH33" s="17">
        <f>IF(OR(League!$M$6="",League!$M$6=0),"",(League!$P$6/League!$M$6*9))</f>
        <v>4.0449330200482132</v>
      </c>
      <c r="AI33" s="17">
        <f>IF(OR(F33="",F33=0,League!$G$6="",League!$G$6=0,League!$M$8="",League!$M$8=0,AA33="",AA33=0),"",((Q33/F33/(AA33/100)+(League!$M$6/League!$G$6-M33/F33)*(League!$P$8/League!$M$8))/(League!$M$6/League!$G$6)*9))</f>
        <v>4.0237947398963438</v>
      </c>
      <c r="AJ33" s="17">
        <f>IF(AH33="","",((AH33+AI33)^0.287))</f>
        <v>1.8207614635147131</v>
      </c>
      <c r="AK33" s="21">
        <f>IF(AM33="","",(AM33*F33))</f>
        <v>16.578704449177245</v>
      </c>
      <c r="AL33" s="21">
        <f>IF(AK33="","",(F33-AK33))</f>
        <v>16.421295550822755</v>
      </c>
      <c r="AM33" s="20">
        <f>IF(AJ33="","",(AH33^AJ33/(AH33^AJ33+AI33^AJ33)))</f>
        <v>0.50238498330840131</v>
      </c>
      <c r="AN33" s="21">
        <f>IF(OR(AG33="",AG33=0),"",IF(((M33/AG33)&gt;=F33),AK33,IF(OR(AM33=1,(AK33-(F33-M33/AG33)*League!$AA$8)&gt;=AK33),AK33,IF(OR(AM33=0,(AK33-(F33-M33/AG33)*League!$AA$8)&lt;=0),0,(AK33-(F33-M33/AG33)*League!$AA$8)))))</f>
        <v>11.300047610973969</v>
      </c>
      <c r="AO33" s="21">
        <f>IF(OR(AG33="",AG33=0),"",IF((W33/AG33)&gt;=F33,AL33,(M33/AG33-AN33)))</f>
        <v>11.250641921585277</v>
      </c>
      <c r="AP33" s="20">
        <f>IF(OR(AN33="",(AN33+AO33)=0),"",(AN33/(AN33+AO33)))</f>
        <v>0.50109543633504772</v>
      </c>
      <c r="AQ33" s="22">
        <f>IF(AN33="","",((C33-AN33)+(AO33-D33)))</f>
        <v>1.9505943106113079</v>
      </c>
    </row>
    <row r="34" spans="1:43" x14ac:dyDescent="0.3">
      <c r="A34" s="15" t="s">
        <v>120</v>
      </c>
      <c r="B34" s="16" t="s">
        <v>91</v>
      </c>
      <c r="C34" s="16">
        <v>14</v>
      </c>
      <c r="D34" s="16">
        <v>8</v>
      </c>
      <c r="E34" s="17">
        <f>IF(OR(M34="",M34=0),"",(R34/M34*9))</f>
        <v>3.1992818671454226</v>
      </c>
      <c r="F34" s="16">
        <v>30</v>
      </c>
      <c r="G34" s="16">
        <v>30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8">
        <f>IF(N34="","",(INT(N34)+(N34-INT(N34))*10/3))</f>
        <v>185.66666666666663</v>
      </c>
      <c r="N34" s="16">
        <v>185.2</v>
      </c>
      <c r="O34" s="16">
        <v>774</v>
      </c>
      <c r="P34" s="16">
        <v>173</v>
      </c>
      <c r="Q34" s="16">
        <v>69</v>
      </c>
      <c r="R34" s="16">
        <v>66</v>
      </c>
      <c r="S34" s="16">
        <v>22</v>
      </c>
      <c r="T34" s="16">
        <v>45</v>
      </c>
      <c r="U34" s="16">
        <v>4</v>
      </c>
      <c r="V34" s="16">
        <v>13</v>
      </c>
      <c r="W34" s="16">
        <v>2</v>
      </c>
      <c r="X34" s="16">
        <v>0</v>
      </c>
      <c r="Y34" s="16">
        <v>170</v>
      </c>
      <c r="Z34" s="17">
        <f>IF(OR(M34="",M34=0),"",((13*S34+3*(T34+V34)-2*Y34)/M34+League!$Y$2))</f>
        <v>3.6941738757788087</v>
      </c>
      <c r="AA34" s="16">
        <f>VLOOKUP(B34,BPF!$A$2:$B$31,2,FALSE)</f>
        <v>99</v>
      </c>
      <c r="AB34" s="19">
        <f>IF(OR(E34="",E34=0),"",(E34/(League!$E$6*AA34/100)*100))</f>
        <v>86.442357309013119</v>
      </c>
      <c r="AC34" s="19">
        <f>IF(OR(Z34="",Z34=0),"",(Z34/(League!$Y$6*AA34/100)*100))</f>
        <v>99.089112102547233</v>
      </c>
      <c r="AD34" s="20">
        <f>IF(OR((C34+D34)="",(C34+D34)=0),"",(C34/(C34+D34)))</f>
        <v>0.63636363636363635</v>
      </c>
      <c r="AE34" s="17">
        <f>IF(OR(F34="",F34=0),"",(M34/F34))</f>
        <v>6.1888888888888873</v>
      </c>
      <c r="AF34" s="34">
        <f>IF(OR(AA34="",AA34=0,M34="",M34=0),"",(Q34/M34*9)/(AA34/100))</f>
        <v>3.3784886567651387</v>
      </c>
      <c r="AG34" s="34">
        <f>(1.19*AE34-0.056*AF34+1.71)*League!$AC$7</f>
        <v>9.0558984477580164</v>
      </c>
      <c r="AH34" s="17">
        <f>IF(OR(League!$M$6="",League!$M$6=0),"",(League!$P$6/League!$M$6*9))</f>
        <v>4.0449330200482132</v>
      </c>
      <c r="AI34" s="17">
        <f>IF(OR(F34="",F34=0,League!$G$6="",League!$G$6=0,League!$M$8="",League!$M$8=0,AA34="",AA34=0),"",((Q34/F34/(AA34/100)+(League!$M$6/League!$G$6-M34/F34)*(League!$P$8/League!$M$8))/(League!$M$6/League!$G$6)*9))</f>
        <v>3.4999601003314824</v>
      </c>
      <c r="AJ34" s="17">
        <f>IF(AH34="","",((AH34+AI34)^0.287))</f>
        <v>1.7860204916999356</v>
      </c>
      <c r="AK34" s="21">
        <f>IF(AM34="","",(AM34*F34))</f>
        <v>16.927739045037349</v>
      </c>
      <c r="AL34" s="21">
        <f>IF(AK34="","",(F34-AK34))</f>
        <v>13.072260954962651</v>
      </c>
      <c r="AM34" s="20">
        <f>IF(AJ34="","",(AH34^AJ34/(AH34^AJ34+AI34^AJ34)))</f>
        <v>0.56425796816791163</v>
      </c>
      <c r="AN34" s="21">
        <f>IF(OR(AG34="",AG34=0),"",IF(((M34/AG34)&gt;=F34),AK34,IF(OR(AM34=1,(AK34-(F34-M34/AG34)*League!$AA$8)&gt;=AK34),AK34,IF(OR(AM34=0,(AK34-(F34-M34/AG34)*League!$AA$8)&lt;=0),0,(AK34-(F34-M34/AG34)*League!$AA$8)))))</f>
        <v>12.12980085704673</v>
      </c>
      <c r="AO34" s="21">
        <f>IF(OR(AG34="",AG34=0),"",IF((W34/AG34)&gt;=F34,AL34,(M34/AG34-AN34)))</f>
        <v>8.3724903002301527</v>
      </c>
      <c r="AP34" s="20">
        <f>IF(OR(AN34="",(AN34+AO34)=0),"",(AN34/(AN34+AO34)))</f>
        <v>0.59163147981836639</v>
      </c>
      <c r="AQ34" s="22">
        <f>IF(AN34="","",((C34-AN34)+(AO34-D34)))</f>
        <v>2.2426894431834228</v>
      </c>
    </row>
    <row r="35" spans="1:43" x14ac:dyDescent="0.3">
      <c r="A35" s="15" t="s">
        <v>115</v>
      </c>
      <c r="B35" s="16" t="s">
        <v>102</v>
      </c>
      <c r="C35" s="16">
        <v>15</v>
      </c>
      <c r="D35" s="16">
        <v>9</v>
      </c>
      <c r="E35" s="17">
        <f>IF(OR(M35="",M35=0),"",(R35/M35*9))</f>
        <v>3.0634615384615387</v>
      </c>
      <c r="F35" s="16">
        <v>31</v>
      </c>
      <c r="G35" s="16">
        <v>31</v>
      </c>
      <c r="H35" s="16">
        <v>1</v>
      </c>
      <c r="I35" s="16">
        <v>1</v>
      </c>
      <c r="J35" s="16">
        <v>0</v>
      </c>
      <c r="K35" s="16">
        <v>0</v>
      </c>
      <c r="L35" s="16">
        <v>0</v>
      </c>
      <c r="M35" s="18">
        <f>IF(N35="","",(INT(N35)+(N35-INT(N35))*10/3))</f>
        <v>173.33333333333331</v>
      </c>
      <c r="N35" s="16">
        <v>173.1</v>
      </c>
      <c r="O35" s="16">
        <v>722</v>
      </c>
      <c r="P35" s="16">
        <v>152</v>
      </c>
      <c r="Q35" s="16">
        <v>65</v>
      </c>
      <c r="R35" s="16">
        <v>59</v>
      </c>
      <c r="S35" s="16">
        <v>20</v>
      </c>
      <c r="T35" s="16">
        <v>57</v>
      </c>
      <c r="U35" s="16">
        <v>0</v>
      </c>
      <c r="V35" s="16">
        <v>5</v>
      </c>
      <c r="W35" s="16">
        <v>2</v>
      </c>
      <c r="X35" s="16">
        <v>0</v>
      </c>
      <c r="Y35" s="16">
        <v>169</v>
      </c>
      <c r="Z35" s="17">
        <f>IF(OR(M35="",M35=0),"",((13*S35+3*(T35+V35)-2*Y35)/M35+League!$Y$2))</f>
        <v>3.6709312297354444</v>
      </c>
      <c r="AA35" s="16">
        <f>VLOOKUP(B35,BPF!$A$2:$B$31,2,FALSE)</f>
        <v>97</v>
      </c>
      <c r="AB35" s="19">
        <f>IF(OR(E35="",E35=0),"",(E35/(League!$E$6*AA35/100)*100))</f>
        <v>84.479238349903767</v>
      </c>
      <c r="AC35" s="19">
        <f>IF(OR(Z35="",Z35=0),"",(Z35/(League!$Y$6*AA35/100)*100))</f>
        <v>100.49589286470879</v>
      </c>
      <c r="AD35" s="20">
        <f>IF(OR((C35+D35)="",(C35+D35)=0),"",(C35/(C35+D35)))</f>
        <v>0.625</v>
      </c>
      <c r="AE35" s="17">
        <f>IF(OR(F35="",F35=0),"",(M35/F35))</f>
        <v>5.5913978494623651</v>
      </c>
      <c r="AF35" s="34">
        <f>IF(OR(AA35="",AA35=0,M35="",M35=0),"",(Q35/M35*9)/(AA35/100))</f>
        <v>3.4793814432989696</v>
      </c>
      <c r="AG35" s="34">
        <f>(1.19*AE35-0.056*AF35+1.71)*League!$AC$7</f>
        <v>8.3254973194140973</v>
      </c>
      <c r="AH35" s="17">
        <f>IF(OR(League!$M$6="",League!$M$6=0),"",(League!$P$6/League!$M$6*9))</f>
        <v>4.0449330200482132</v>
      </c>
      <c r="AI35" s="17">
        <f>IF(OR(F35="",F35=0,League!$G$6="",League!$G$6=0,League!$M$8="",League!$M$8=0,AA35="",AA35=0),"",((Q35/F35/(AA35/100)+(League!$M$6/League!$G$6-M35/F35)*(League!$P$8/League!$M$8))/(League!$M$6/League!$G$6)*9))</f>
        <v>3.5886106851847224</v>
      </c>
      <c r="AJ35" s="17">
        <f>IF(AH35="","",((AH35+AI35)^0.287))</f>
        <v>1.7920182093880894</v>
      </c>
      <c r="AK35" s="21">
        <f>IF(AM35="","",(AM35*F35))</f>
        <v>17.156063495872058</v>
      </c>
      <c r="AL35" s="21">
        <f>IF(AK35="","",(F35-AK35))</f>
        <v>13.843936504127942</v>
      </c>
      <c r="AM35" s="20">
        <f>IF(AJ35="","",(AH35^AJ35/(AH35^AJ35+AI35^AJ35)))</f>
        <v>0.55342140309264698</v>
      </c>
      <c r="AN35" s="21">
        <f>IF(OR(AG35="",AG35=0),"",IF(((M35/AG35)&gt;=F35),AK35,IF(OR(AM35=1,(AK35-(F35-M35/AG35)*League!$AA$8)&gt;=AK35),AK35,IF(OR(AM35=0,(AK35-(F35-M35/AG35)*League!$AA$8)&lt;=0),0,(AK35-(F35-M35/AG35)*League!$AA$8)))))</f>
        <v>12.013240040975042</v>
      </c>
      <c r="AO35" s="21">
        <f>IF(OR(AG35="",AG35=0),"",IF((W35/AG35)&gt;=F35,AL35,(M35/AG35-AN35)))</f>
        <v>8.8063370585382827</v>
      </c>
      <c r="AP35" s="20">
        <f>IF(OR(AN35="",(AN35+AO35)=0),"",(AN35/(AN35+AO35)))</f>
        <v>0.57701652553047589</v>
      </c>
      <c r="AQ35" s="22">
        <f>IF(AN35="","",((C35-AN35)+(AO35-D35)))</f>
        <v>2.793097017563241</v>
      </c>
    </row>
    <row r="36" spans="1:43" x14ac:dyDescent="0.3">
      <c r="A36" s="15" t="s">
        <v>119</v>
      </c>
      <c r="B36" s="16" t="s">
        <v>93</v>
      </c>
      <c r="C36" s="16">
        <v>14</v>
      </c>
      <c r="D36" s="16">
        <v>7</v>
      </c>
      <c r="E36" s="17">
        <f>IF(OR(M36="",M36=0),"",(R36/M36*9))</f>
        <v>3.1613924050632916</v>
      </c>
      <c r="F36" s="16">
        <v>32</v>
      </c>
      <c r="G36" s="16">
        <v>32</v>
      </c>
      <c r="H36" s="16">
        <v>1</v>
      </c>
      <c r="I36" s="16">
        <v>0</v>
      </c>
      <c r="J36" s="16">
        <v>0</v>
      </c>
      <c r="K36" s="16">
        <v>0</v>
      </c>
      <c r="L36" s="16">
        <v>0</v>
      </c>
      <c r="M36" s="18">
        <f>IF(N36="","",(INT(N36)+(N36-INT(N36))*10/3))</f>
        <v>210.66666666666663</v>
      </c>
      <c r="N36" s="16">
        <v>210.2</v>
      </c>
      <c r="O36" s="16">
        <v>881</v>
      </c>
      <c r="P36" s="16">
        <v>197</v>
      </c>
      <c r="Q36" s="16">
        <v>82</v>
      </c>
      <c r="R36" s="16">
        <v>74</v>
      </c>
      <c r="S36" s="16">
        <v>14</v>
      </c>
      <c r="T36" s="16">
        <v>58</v>
      </c>
      <c r="U36" s="16">
        <v>5</v>
      </c>
      <c r="V36" s="16">
        <v>10</v>
      </c>
      <c r="W36" s="16">
        <v>8</v>
      </c>
      <c r="X36" s="16">
        <v>0</v>
      </c>
      <c r="Y36" s="16">
        <v>187</v>
      </c>
      <c r="Z36" s="17">
        <f>IF(OR(M36="",M36=0),"",((13*S36+3*(T36+V36)-2*Y36)/M36+League!$Y$2))</f>
        <v>3.1048163319749769</v>
      </c>
      <c r="AA36" s="16">
        <f>VLOOKUP(B36,BPF!$A$2:$B$31,2,FALSE)</f>
        <v>101</v>
      </c>
      <c r="AB36" s="19">
        <f>IF(OR(E36="",E36=0),"",(E36/(League!$E$6*AA36/100)*100))</f>
        <v>83.727152922426882</v>
      </c>
      <c r="AC36" s="19">
        <f>IF(OR(Z36="",Z36=0),"",(Z36/(League!$Y$6*AA36/100)*100))</f>
        <v>81.63160569307297</v>
      </c>
      <c r="AD36" s="20">
        <f>IF(OR((C36+D36)="",(C36+D36)=0),"",(C36/(C36+D36)))</f>
        <v>0.66666666666666663</v>
      </c>
      <c r="AE36" s="17">
        <f>IF(OR(F36="",F36=0),"",(M36/F36))</f>
        <v>6.5833333333333321</v>
      </c>
      <c r="AF36" s="34">
        <f>IF(OR(AA36="",AA36=0,M36="",M36=0),"",(Q36/M36*9)/(AA36/100))</f>
        <v>3.4684797593683423</v>
      </c>
      <c r="AG36" s="34">
        <f>(1.19*AE36-0.056*AF36+1.71)*League!$AC$7</f>
        <v>9.5291483371625567</v>
      </c>
      <c r="AH36" s="17">
        <f>IF(OR(League!$M$6="",League!$M$6=0),"",(League!$P$6/League!$M$6*9))</f>
        <v>4.0449330200482132</v>
      </c>
      <c r="AI36" s="17">
        <f>IF(OR(F36="",F36=0,League!$G$6="",League!$G$6=0,League!$M$8="",League!$M$8=0,AA36="",AA36=0),"",((Q36/F36/(AA36/100)+(League!$M$6/League!$G$6-M36/F36)*(League!$P$8/League!$M$8))/(League!$M$6/League!$G$6)*9))</f>
        <v>3.5487540636824986</v>
      </c>
      <c r="AJ36" s="17">
        <f>IF(AH36="","",((AH36+AI36)^0.287))</f>
        <v>1.7893278602212255</v>
      </c>
      <c r="AK36" s="21">
        <f>IF(AM36="","",(AM36*F36))</f>
        <v>17.864818543908505</v>
      </c>
      <c r="AL36" s="21">
        <f>IF(AK36="","",(F36-AK36))</f>
        <v>14.135181456091495</v>
      </c>
      <c r="AM36" s="20">
        <f>IF(AJ36="","",(AH36^AJ36/(AH36^AJ36+AI36^AJ36)))</f>
        <v>0.55827557949714079</v>
      </c>
      <c r="AN36" s="21">
        <f>IF(OR(AG36="",AG36=0),"",IF(((M36/AG36)&gt;=F36),AK36,IF(OR(AM36=1,(AK36-(F36-M36/AG36)*League!$AA$8)&gt;=AK36),AK36,IF(OR(AM36=0,(AK36-(F36-M36/AG36)*League!$AA$8)&lt;=0),0,(AK36-(F36-M36/AG36)*League!$AA$8)))))</f>
        <v>12.867498575625293</v>
      </c>
      <c r="AO36" s="21">
        <f>IF(OR(AG36="",AG36=0),"",IF((W36/AG36)&gt;=F36,AL36,(M36/AG36-AN36)))</f>
        <v>9.2401084436810859</v>
      </c>
      <c r="AP36" s="20">
        <f>IF(OR(AN36="",(AN36+AO36)=0),"",(AN36/(AN36+AO36)))</f>
        <v>0.58203941133874049</v>
      </c>
      <c r="AQ36" s="22">
        <f>IF(AN36="","",((C36-AN36)+(AO36-D36)))</f>
        <v>3.3726098680557932</v>
      </c>
    </row>
    <row r="37" spans="1:43" x14ac:dyDescent="0.3">
      <c r="A37" s="15" t="s">
        <v>141</v>
      </c>
      <c r="B37" s="16" t="s">
        <v>97</v>
      </c>
      <c r="C37" s="16">
        <v>12</v>
      </c>
      <c r="D37" s="16">
        <v>10</v>
      </c>
      <c r="E37" s="17">
        <f>IF(OR(M37="",M37=0),"",(R37/M37*9))</f>
        <v>4.1845018450184508</v>
      </c>
      <c r="F37" s="16">
        <v>31</v>
      </c>
      <c r="G37" s="16">
        <v>31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8">
        <f>IF(N37="","",(INT(N37)+(N37-INT(N37))*10/3))</f>
        <v>180.66666666666663</v>
      </c>
      <c r="N37" s="16">
        <v>180.2</v>
      </c>
      <c r="O37" s="16">
        <v>773</v>
      </c>
      <c r="P37" s="16">
        <v>180</v>
      </c>
      <c r="Q37" s="16">
        <v>92</v>
      </c>
      <c r="R37" s="16">
        <v>84</v>
      </c>
      <c r="S37" s="16">
        <v>18</v>
      </c>
      <c r="T37" s="16">
        <v>66</v>
      </c>
      <c r="U37" s="16">
        <v>1</v>
      </c>
      <c r="V37" s="16">
        <v>3</v>
      </c>
      <c r="W37" s="16">
        <v>5</v>
      </c>
      <c r="X37" s="16">
        <v>0</v>
      </c>
      <c r="Y37" s="16">
        <v>144</v>
      </c>
      <c r="Z37" s="17">
        <f>IF(OR(M37="",M37=0),"",((13*S37+3*(T37+V37)-2*Y37)/M37+League!$Y$2))</f>
        <v>3.8947177752932078</v>
      </c>
      <c r="AA37" s="16">
        <f>VLOOKUP(B37,BPF!$A$2:$B$31,2,FALSE)</f>
        <v>101</v>
      </c>
      <c r="AB37" s="19">
        <f>IF(OR(E37="",E37=0),"",(E37/(League!$E$6*AA37/100)*100))</f>
        <v>110.82345403275653</v>
      </c>
      <c r="AC37" s="19">
        <f>IF(OR(Z37="",Z37=0),"",(Z37/(League!$Y$6*AA37/100)*100))</f>
        <v>102.39963712001625</v>
      </c>
      <c r="AD37" s="20">
        <f>IF(OR((C37+D37)="",(C37+D37)=0),"",(C37/(C37+D37)))</f>
        <v>0.54545454545454541</v>
      </c>
      <c r="AE37" s="17">
        <f>IF(OR(F37="",F37=0),"",(M37/F37))</f>
        <v>5.8279569892473102</v>
      </c>
      <c r="AF37" s="34">
        <f>IF(OR(AA37="",AA37=0,M37="",M37=0),"",(Q37/M37*9)/(AA37/100))</f>
        <v>4.5376493368894089</v>
      </c>
      <c r="AG37" s="34">
        <f>(1.19*AE37-0.056*AF37+1.71)*League!$AC$7</f>
        <v>8.5519995652919238</v>
      </c>
      <c r="AH37" s="17">
        <f>IF(OR(League!$M$6="",League!$M$6=0),"",(League!$P$6/League!$M$6*9))</f>
        <v>4.0449330200482132</v>
      </c>
      <c r="AI37" s="17">
        <f>IF(OR(F37="",F37=0,League!$G$6="",League!$G$6=0,League!$M$8="",League!$M$8=0,AA37="",AA37=0),"",((Q37/F37/(AA37/100)+(League!$M$6/League!$G$6-M37/F37)*(League!$P$8/League!$M$8))/(League!$M$6/League!$G$6)*9))</f>
        <v>4.2670024836824219</v>
      </c>
      <c r="AJ37" s="17">
        <f>IF(AH37="","",((AH37+AI37)^0.287))</f>
        <v>1.8363460335615893</v>
      </c>
      <c r="AK37" s="21">
        <f>IF(AM37="","",(AM37*F37))</f>
        <v>14.73997506906902</v>
      </c>
      <c r="AL37" s="21">
        <f>IF(AK37="","",(F37-AK37))</f>
        <v>16.260024930930982</v>
      </c>
      <c r="AM37" s="20">
        <f>IF(AJ37="","",(AH37^AJ37/(AH37^AJ37+AI37^AJ37)))</f>
        <v>0.47548306674416196</v>
      </c>
      <c r="AN37" s="21">
        <f>IF(OR(AG37="",AG37=0),"",IF(((M37/AG37)&gt;=F37),AK37,IF(OR(AM37=1,(AK37-(F37-M37/AG37)*League!$AA$8)&gt;=AK37),AK37,IF(OR(AM37=0,(AK37-(F37-M37/AG37)*League!$AA$8)&lt;=0),0,(AK37-(F37-M37/AG37)*League!$AA$8)))))</f>
        <v>9.7517767506820707</v>
      </c>
      <c r="AO37" s="21">
        <f>IF(OR(AG37="",AG37=0),"",IF((W37/AG37)&gt;=F37,AL37,(M37/AG37-AN37)))</f>
        <v>11.373886936193893</v>
      </c>
      <c r="AP37" s="20">
        <f>IF(OR(AN37="",(AN37+AO37)=0),"",(AN37/(AN37+AO37)))</f>
        <v>0.46160806567891316</v>
      </c>
      <c r="AQ37" s="22">
        <f>IF(AN37="","",((C37-AN37)+(AO37-D37)))</f>
        <v>3.6221101855118221</v>
      </c>
    </row>
    <row r="38" spans="1:43" x14ac:dyDescent="0.3">
      <c r="A38" s="15" t="s">
        <v>110</v>
      </c>
      <c r="B38" s="16" t="s">
        <v>102</v>
      </c>
      <c r="C38" s="16">
        <v>19</v>
      </c>
      <c r="D38" s="16">
        <v>9</v>
      </c>
      <c r="E38" s="17">
        <f>IF(OR(M38="",M38=0),"",(R38/M38*9))</f>
        <v>2.9420689655172421</v>
      </c>
      <c r="F38" s="16">
        <v>34</v>
      </c>
      <c r="G38" s="16">
        <v>34</v>
      </c>
      <c r="H38" s="16">
        <v>5</v>
      </c>
      <c r="I38" s="16">
        <v>2</v>
      </c>
      <c r="J38" s="16">
        <v>0</v>
      </c>
      <c r="K38" s="16">
        <v>0</v>
      </c>
      <c r="L38" s="16">
        <v>0</v>
      </c>
      <c r="M38" s="18">
        <f>IF(N38="","",(INT(N38)+(N38-INT(N38))*10/3))</f>
        <v>241.66666666666663</v>
      </c>
      <c r="N38" s="16">
        <v>241.2</v>
      </c>
      <c r="O38" s="16">
        <v>956</v>
      </c>
      <c r="P38" s="16">
        <v>223</v>
      </c>
      <c r="Q38" s="16">
        <v>83</v>
      </c>
      <c r="R38" s="16">
        <v>79</v>
      </c>
      <c r="S38" s="16">
        <v>15</v>
      </c>
      <c r="T38" s="16">
        <v>35</v>
      </c>
      <c r="U38" s="16">
        <v>2</v>
      </c>
      <c r="V38" s="16">
        <v>6</v>
      </c>
      <c r="W38" s="16">
        <v>5</v>
      </c>
      <c r="X38" s="16">
        <v>0</v>
      </c>
      <c r="Y38" s="16">
        <v>219</v>
      </c>
      <c r="Z38" s="17">
        <f>IF(OR(M38="",M38=0),"",((13*S38+3*(T38+V38)-2*Y38)/M38+League!$Y$2))</f>
        <v>2.5513025825205902</v>
      </c>
      <c r="AA38" s="16">
        <f>VLOOKUP(B38,BPF!$A$2:$B$31,2,FALSE)</f>
        <v>97</v>
      </c>
      <c r="AB38" s="19">
        <f>IF(OR(E38="",E38=0),"",(E38/(League!$E$6*AA38/100)*100))</f>
        <v>81.131668297230803</v>
      </c>
      <c r="AC38" s="19">
        <f>IF(OR(Z38="",Z38=0),"",(Z38/(League!$Y$6*AA38/100)*100))</f>
        <v>69.844792765818696</v>
      </c>
      <c r="AD38" s="20">
        <f>IF(OR((C38+D38)="",(C38+D38)=0),"",(C38/(C38+D38)))</f>
        <v>0.6785714285714286</v>
      </c>
      <c r="AE38" s="17">
        <f>IF(OR(F38="",F38=0),"",(M38/F38))</f>
        <v>7.1078431372549007</v>
      </c>
      <c r="AF38" s="34">
        <f>IF(OR(AA38="",AA38=0,M38="",M38=0),"",(Q38/M38*9)/(AA38/100))</f>
        <v>3.1866334873800217</v>
      </c>
      <c r="AG38" s="34">
        <f>(1.19*AE38-0.056*AF38+1.71)*League!$AC$7</f>
        <v>10.181364755467692</v>
      </c>
      <c r="AH38" s="17">
        <f>IF(OR(League!$M$6="",League!$M$6=0),"",(League!$P$6/League!$M$6*9))</f>
        <v>4.0449330200482132</v>
      </c>
      <c r="AI38" s="17">
        <f>IF(OR(F38="",F38=0,League!$G$6="",League!$G$6=0,League!$M$8="",League!$M$8=0,AA38="",AA38=0),"",((Q38/F38/(AA38/100)+(League!$M$6/League!$G$6-M38/F38)*(League!$P$8/League!$M$8))/(League!$M$6/League!$G$6)*9))</f>
        <v>3.3084419887681373</v>
      </c>
      <c r="AJ38" s="17">
        <f>IF(AH38="","",((AH38+AI38)^0.287))</f>
        <v>1.7728895785415264</v>
      </c>
      <c r="AK38" s="21">
        <f>IF(AM38="","",(AM38*F38))</f>
        <v>19.997149658286141</v>
      </c>
      <c r="AL38" s="21">
        <f>IF(AK38="","",(F38-AK38))</f>
        <v>14.002850341713859</v>
      </c>
      <c r="AM38" s="20">
        <f>IF(AJ38="","",(AH38^AJ38/(AH38^AJ38+AI38^AJ38)))</f>
        <v>0.58815146053782763</v>
      </c>
      <c r="AN38" s="21">
        <f>IF(OR(AG38="",AG38=0),"",IF(((M38/AG38)&gt;=F38),AK38,IF(OR(AM38=1,(AK38-(F38-M38/AG38)*League!$AA$8)&gt;=AK38),AK38,IF(OR(AM38=0,(AK38-(F38-M38/AG38)*League!$AA$8)&lt;=0),0,(AK38-(F38-M38/AG38)*League!$AA$8)))))</f>
        <v>14.812194685383844</v>
      </c>
      <c r="AO38" s="21">
        <f>IF(OR(AG38="",AG38=0),"",IF((W38/AG38)&gt;=F38,AL38,(M38/AG38-AN38)))</f>
        <v>8.9239814040627614</v>
      </c>
      <c r="AP38" s="20">
        <f>IF(OR(AN38="",(AN38+AO38)=0),"",(AN38/(AN38+AO38)))</f>
        <v>0.62403458036231574</v>
      </c>
      <c r="AQ38" s="22">
        <f>IF(AN38="","",((C38-AN38)+(AO38-D38)))</f>
        <v>4.1117867186789177</v>
      </c>
    </row>
    <row r="39" spans="1:43" x14ac:dyDescent="0.3">
      <c r="A39" s="15" t="s">
        <v>113</v>
      </c>
      <c r="B39" s="16" t="s">
        <v>93</v>
      </c>
      <c r="C39" s="16">
        <v>14</v>
      </c>
      <c r="D39" s="16">
        <v>7</v>
      </c>
      <c r="E39" s="17">
        <f>IF(OR(M39="",M39=0),"",(R39/M39*9))</f>
        <v>3.3691507798960143</v>
      </c>
      <c r="F39" s="16">
        <v>31</v>
      </c>
      <c r="G39" s="16">
        <v>31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8">
        <f>IF(N39="","",(INT(N39)+(N39-INT(N39))*10/3))</f>
        <v>192.33333333333331</v>
      </c>
      <c r="N39" s="16">
        <v>192.1</v>
      </c>
      <c r="O39" s="16">
        <v>801</v>
      </c>
      <c r="P39" s="16">
        <v>193</v>
      </c>
      <c r="Q39" s="16">
        <v>78</v>
      </c>
      <c r="R39" s="16">
        <v>72</v>
      </c>
      <c r="S39" s="16">
        <v>21</v>
      </c>
      <c r="T39" s="16">
        <v>48</v>
      </c>
      <c r="U39" s="16">
        <v>4</v>
      </c>
      <c r="V39" s="16">
        <v>6</v>
      </c>
      <c r="W39" s="16">
        <v>2</v>
      </c>
      <c r="X39" s="16">
        <v>0</v>
      </c>
      <c r="Y39" s="16">
        <v>122</v>
      </c>
      <c r="Z39" s="17">
        <f>IF(OR(M39="",M39=0),"",((13*S39+3*(T39+V39)-2*Y39)/M39+League!$Y$2))</f>
        <v>4.0409218976463901</v>
      </c>
      <c r="AA39" s="16">
        <f>VLOOKUP(B39,BPF!$A$2:$B$31,2,FALSE)</f>
        <v>101</v>
      </c>
      <c r="AB39" s="19">
        <f>IF(OR(E39="",E39=0),"",(E39/(League!$E$6*AA39/100)*100))</f>
        <v>89.229480691885172</v>
      </c>
      <c r="AC39" s="19">
        <f>IF(OR(Z39="",Z39=0),"",(Z39/(League!$Y$6*AA39/100)*100))</f>
        <v>106.24362529533127</v>
      </c>
      <c r="AD39" s="20">
        <f>IF(OR((C39+D39)="",(C39+D39)=0),"",(C39/(C39+D39)))</f>
        <v>0.66666666666666663</v>
      </c>
      <c r="AE39" s="17">
        <f>IF(OR(F39="",F39=0),"",(M39/F39))</f>
        <v>6.204301075268817</v>
      </c>
      <c r="AF39" s="34">
        <f>IF(OR(AA39="",AA39=0,M39="",M39=0),"",(Q39/M39*9)/(AA39/100))</f>
        <v>3.6137755889973748</v>
      </c>
      <c r="AG39" s="34">
        <f>(1.19*AE39-0.056*AF39+1.71)*League!$AC$7</f>
        <v>9.061161871575532</v>
      </c>
      <c r="AH39" s="17">
        <f>IF(OR(League!$M$6="",League!$M$6=0),"",(League!$P$6/League!$M$6*9))</f>
        <v>4.0449330200482132</v>
      </c>
      <c r="AI39" s="17">
        <f>IF(OR(F39="",F39=0,League!$G$6="",League!$G$6=0,League!$M$8="",League!$M$8=0,AA39="",AA39=0),"",((Q39/F39/(AA39/100)+(League!$M$6/League!$G$6-M39/F39)*(League!$P$8/League!$M$8))/(League!$M$6/League!$G$6)*9))</f>
        <v>3.6616591824608324</v>
      </c>
      <c r="AJ39" s="17">
        <f>IF(AH39="","",((AH39+AI39)^0.287))</f>
        <v>1.7969231454413039</v>
      </c>
      <c r="AK39" s="21">
        <f>IF(AM39="","",(AM39*F39))</f>
        <v>16.88264451513994</v>
      </c>
      <c r="AL39" s="21">
        <f>IF(AK39="","",(F39-AK39))</f>
        <v>14.11735548486006</v>
      </c>
      <c r="AM39" s="20">
        <f>IF(AJ39="","",(AH39^AJ39/(AH39^AJ39+AI39^AJ39)))</f>
        <v>0.54460143597225619</v>
      </c>
      <c r="AN39" s="21">
        <f>IF(OR(AG39="",AG39=0),"",IF(((M39/AG39)&gt;=F39),AK39,IF(OR(AM39=1,(AK39-(F39-M39/AG39)*League!$AA$8)&gt;=AK39),AK39,IF(OR(AM39=0,(AK39-(F39-M39/AG39)*League!$AA$8)&lt;=0),0,(AK39-(F39-M39/AG39)*League!$AA$8)))))</f>
        <v>11.945194851422219</v>
      </c>
      <c r="AO39" s="21">
        <f>IF(OR(AG39="",AG39=0),"",IF((W39/AG39)&gt;=F39,AL39,(M39/AG39-AN39)))</f>
        <v>9.2809278091467924</v>
      </c>
      <c r="AP39" s="20">
        <f>IF(OR(AN39="",(AN39+AO39)=0),"",(AN39/(AN39+AO39)))</f>
        <v>0.56275915495449236</v>
      </c>
      <c r="AQ39" s="22">
        <f>IF(AN39="","",((C39-AN39)+(AO39-D39)))</f>
        <v>4.3357329577245736</v>
      </c>
    </row>
    <row r="40" spans="1:43" x14ac:dyDescent="0.3">
      <c r="A40" s="15" t="s">
        <v>146</v>
      </c>
      <c r="B40" s="16" t="s">
        <v>96</v>
      </c>
      <c r="C40" s="16">
        <v>15</v>
      </c>
      <c r="D40" s="16">
        <v>4</v>
      </c>
      <c r="E40" s="17">
        <f>IF(OR(M40="",M40=0),"",(R40/M40*9))</f>
        <v>2.6341463414634152</v>
      </c>
      <c r="F40" s="16">
        <v>28</v>
      </c>
      <c r="G40" s="16">
        <v>28</v>
      </c>
      <c r="H40" s="16">
        <v>1</v>
      </c>
      <c r="I40" s="16">
        <v>1</v>
      </c>
      <c r="J40" s="16">
        <v>0</v>
      </c>
      <c r="K40" s="16">
        <v>0</v>
      </c>
      <c r="L40" s="16">
        <v>0</v>
      </c>
      <c r="M40" s="18">
        <f>IF(N40="","",(INT(N40)+(N40-INT(N40))*10/3))</f>
        <v>177.66666666666663</v>
      </c>
      <c r="N40" s="16">
        <v>177.2</v>
      </c>
      <c r="O40" s="16">
        <v>717</v>
      </c>
      <c r="P40" s="16">
        <v>152</v>
      </c>
      <c r="Q40" s="16">
        <v>54</v>
      </c>
      <c r="R40" s="16">
        <v>52</v>
      </c>
      <c r="S40" s="16">
        <v>13</v>
      </c>
      <c r="T40" s="16">
        <v>46</v>
      </c>
      <c r="U40" s="16">
        <v>1</v>
      </c>
      <c r="V40" s="16">
        <v>7</v>
      </c>
      <c r="W40" s="16">
        <v>5</v>
      </c>
      <c r="X40" s="16">
        <v>0</v>
      </c>
      <c r="Y40" s="16">
        <v>148</v>
      </c>
      <c r="Z40" s="17">
        <f>IF(OR(M40="",M40=0),"",((13*S40+3*(T40+V40)-2*Y40)/M40+League!$Y$2))</f>
        <v>3.2279668770149943</v>
      </c>
      <c r="AA40" s="16">
        <f>VLOOKUP(B40,BPF!$A$2:$B$31,2,FALSE)</f>
        <v>95</v>
      </c>
      <c r="AB40" s="19">
        <f>IF(OR(E40="",E40=0),"",(E40/(League!$E$6*AA40/100)*100))</f>
        <v>74.169539955512661</v>
      </c>
      <c r="AC40" s="19">
        <f>IF(OR(Z40="",Z40=0),"",(Z40/(League!$Y$6*AA40/100)*100))</f>
        <v>90.229647995226586</v>
      </c>
      <c r="AD40" s="20">
        <f>IF(OR((C40+D40)="",(C40+D40)=0),"",(C40/(C40+D40)))</f>
        <v>0.78947368421052633</v>
      </c>
      <c r="AE40" s="17">
        <f>IF(OR(F40="",F40=0),"",(M40/F40))</f>
        <v>6.345238095238094</v>
      </c>
      <c r="AF40" s="34">
        <f>IF(OR(AA40="",AA40=0,M40="",M40=0),"",(Q40/M40*9)/(AA40/100))</f>
        <v>2.8794312234620332</v>
      </c>
      <c r="AG40" s="34">
        <f>(1.19*AE40-0.056*AF40+1.71)*League!$AC$7</f>
        <v>9.2740031570576917</v>
      </c>
      <c r="AH40" s="17">
        <f>IF(OR(League!$M$6="",League!$M$6=0),"",(League!$P$6/League!$M$6*9))</f>
        <v>4.0449330200482132</v>
      </c>
      <c r="AI40" s="17">
        <f>IF(OR(F40="",F40=0,League!$G$6="",League!$G$6=0,League!$M$8="",League!$M$8=0,AA40="",AA40=0),"",((Q40/F40/(AA40/100)+(League!$M$6/League!$G$6-M40/F40)*(League!$P$8/League!$M$8))/(League!$M$6/League!$G$6)*9))</f>
        <v>3.140967836214096</v>
      </c>
      <c r="AJ40" s="17">
        <f>IF(AH40="","",((AH40+AI40)^0.287))</f>
        <v>1.7612058138165905</v>
      </c>
      <c r="AK40" s="21">
        <f>IF(AM40="","",(AM40*F40))</f>
        <v>17.067718476253969</v>
      </c>
      <c r="AL40" s="21">
        <f>IF(AK40="","",(F40-AK40))</f>
        <v>10.932281523746031</v>
      </c>
      <c r="AM40" s="20">
        <f>IF(AJ40="","",(AH40^AJ40/(AH40^AJ40+AI40^AJ40)))</f>
        <v>0.60956137415192746</v>
      </c>
      <c r="AN40" s="21">
        <f>IF(OR(AG40="",AG40=0),"",IF(((M40/AG40)&gt;=F40),AK40,IF(OR(AM40=1,(AK40-(F40-M40/AG40)*League!$AA$8)&gt;=AK40),AK40,IF(OR(AM40=0,(AK40-(F40-M40/AG40)*League!$AA$8)&lt;=0),0,(AK40-(F40-M40/AG40)*League!$AA$8)))))</f>
        <v>12.600768142832038</v>
      </c>
      <c r="AO40" s="21">
        <f>IF(OR(AG40="",AG40=0),"",IF((W40/AG40)&gt;=F40,AL40,(M40/AG40-AN40)))</f>
        <v>6.5567265935654717</v>
      </c>
      <c r="AP40" s="20">
        <f>IF(OR(AN40="",(AN40+AO40)=0),"",(AN40/(AN40+AO40)))</f>
        <v>0.65774613623626454</v>
      </c>
      <c r="AQ40" s="22">
        <f>IF(AN40="","",((C40-AN40)+(AO40-D40)))</f>
        <v>4.9559584507334336</v>
      </c>
    </row>
    <row r="41" spans="1:43" x14ac:dyDescent="0.3">
      <c r="A41" s="15" t="s">
        <v>145</v>
      </c>
      <c r="B41" s="16" t="s">
        <v>55</v>
      </c>
      <c r="C41" s="16">
        <v>9</v>
      </c>
      <c r="D41" s="16">
        <v>12</v>
      </c>
      <c r="E41" s="17">
        <f>IF(OR(M41="",M41=0),"",(R41/M41*9))</f>
        <v>5.7401574803149611</v>
      </c>
      <c r="F41" s="16">
        <v>32</v>
      </c>
      <c r="G41" s="16">
        <v>32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8">
        <f>IF(N41="","",(INT(N41)+(N41-INT(N41))*10/3))</f>
        <v>169.33333333333331</v>
      </c>
      <c r="N41" s="16">
        <v>169.1</v>
      </c>
      <c r="O41" s="16">
        <v>773</v>
      </c>
      <c r="P41" s="16">
        <v>192</v>
      </c>
      <c r="Q41" s="16">
        <v>114</v>
      </c>
      <c r="R41" s="16">
        <v>108</v>
      </c>
      <c r="S41" s="16">
        <v>19</v>
      </c>
      <c r="T41" s="16">
        <v>77</v>
      </c>
      <c r="U41" s="16">
        <v>2</v>
      </c>
      <c r="V41" s="16">
        <v>3</v>
      </c>
      <c r="W41" s="16">
        <v>16</v>
      </c>
      <c r="X41" s="16">
        <v>0</v>
      </c>
      <c r="Y41" s="16">
        <v>142</v>
      </c>
      <c r="Z41" s="17">
        <f>IF(OR(M41="",M41=0),"",((13*S41+3*(T41+V41)-2*Y41)/M41+League!$Y$2))</f>
        <v>4.2466732042963162</v>
      </c>
      <c r="AA41" s="23">
        <f>427/(M41*3)*BPF!B30+27/M41*BPF!B23</f>
        <v>95</v>
      </c>
      <c r="AB41" s="19">
        <f>IF(OR(E41="",E41=0),"",(E41/(League!$E$6*AA41/100)*100))</f>
        <v>161.62535576919785</v>
      </c>
      <c r="AC41" s="19">
        <f>IF(OR(Z41="",Z41=0),"",(Z41/(League!$Y$6*AA41/100)*100))</f>
        <v>118.7050062696903</v>
      </c>
      <c r="AD41" s="20">
        <f>IF(OR((C41+D41)="",(C41+D41)=0),"",(C41/(C41+D41)))</f>
        <v>0.42857142857142855</v>
      </c>
      <c r="AE41" s="17">
        <f>IF(OR(F41="",F41=0),"",(M41/F41))</f>
        <v>5.2916666666666661</v>
      </c>
      <c r="AF41" s="34">
        <f>IF(OR(AA41="",AA41=0,M41="",M41=0),"",(Q41/M41*9)/(AA41/100))</f>
        <v>6.377952755905512</v>
      </c>
      <c r="AG41" s="34">
        <f>(1.19*AE41-0.056*AF41+1.71)*League!$AC$7</f>
        <v>7.7965491885123051</v>
      </c>
      <c r="AH41" s="17">
        <f>IF(OR(League!$M$6="",League!$M$6=0),"",(League!$P$6/League!$M$6*9))</f>
        <v>4.0449330200482132</v>
      </c>
      <c r="AI41" s="17">
        <f>IF(OR(F41="",F41=0,League!$G$6="",League!$G$6=0,League!$M$8="",League!$M$8=0,AA41="",AA41=0),"",((Q41/F41/(AA41/100)+(League!$M$6/League!$G$6-M41/F41)*(League!$P$8/League!$M$8))/(League!$M$6/League!$G$6)*9))</f>
        <v>5.3042627230025579</v>
      </c>
      <c r="AJ41" s="17">
        <f>IF(AH41="","",((AH41+AI41)^0.287))</f>
        <v>1.8993815299845307</v>
      </c>
      <c r="AK41" s="21">
        <f>IF(AM41="","",(AM41*F41))</f>
        <v>11.97006186645892</v>
      </c>
      <c r="AL41" s="21">
        <f>IF(AK41="","",(F41-AK41))</f>
        <v>20.02993813354108</v>
      </c>
      <c r="AM41" s="20">
        <f>IF(AJ41="","",(AH41^AJ41/(AH41^AJ41+AI41^AJ41)))</f>
        <v>0.37406443332684125</v>
      </c>
      <c r="AN41" s="21">
        <f>IF(OR(AG41="",AG41=0),"",IF(((M41/AG41)&gt;=F41),AK41,IF(OR(AM41=1,(AK41-(F41-M41/AG41)*League!$AA$8)&gt;=AK41),AK41,IF(OR(AM41=0,(AK41-(F41-M41/AG41)*League!$AA$8)&lt;=0),0,(AK41-(F41-M41/AG41)*League!$AA$8)))))</f>
        <v>6.7764353647275311</v>
      </c>
      <c r="AO41" s="21">
        <f>IF(OR(AG41="",AG41=0),"",IF((W41/AG41)&gt;=F41,AL41,(M41/AG41-AN41)))</f>
        <v>14.942575089645628</v>
      </c>
      <c r="AP41" s="20">
        <f>IF(OR(AN41="",(AN41+AO41)=0),"",(AN41/(AN41+AO41)))</f>
        <v>0.31200479317247554</v>
      </c>
      <c r="AQ41" s="22">
        <f>IF(AN41="","",((C41-AN41)+(AO41-D41)))</f>
        <v>5.1661397249180965</v>
      </c>
    </row>
    <row r="42" spans="1:43" x14ac:dyDescent="0.3">
      <c r="A42" s="15" t="s">
        <v>133</v>
      </c>
      <c r="B42" s="16" t="s">
        <v>102</v>
      </c>
      <c r="C42" s="16">
        <v>15</v>
      </c>
      <c r="D42" s="16">
        <v>10</v>
      </c>
      <c r="E42" s="17">
        <f>IF(OR(M42="",M42=0),"",(R42/M42*9))</f>
        <v>3.9719008264462818</v>
      </c>
      <c r="F42" s="16">
        <v>33</v>
      </c>
      <c r="G42" s="16">
        <v>33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8">
        <f>IF(N42="","",(INT(N42)+(N42-INT(N42))*10/3))</f>
        <v>201.66666666666663</v>
      </c>
      <c r="N42" s="16">
        <v>201.2</v>
      </c>
      <c r="O42" s="16">
        <v>856</v>
      </c>
      <c r="P42" s="16">
        <v>189</v>
      </c>
      <c r="Q42" s="16">
        <v>92</v>
      </c>
      <c r="R42" s="16">
        <v>89</v>
      </c>
      <c r="S42" s="16">
        <v>14</v>
      </c>
      <c r="T42" s="16">
        <v>76</v>
      </c>
      <c r="U42" s="16">
        <v>0</v>
      </c>
      <c r="V42" s="16">
        <v>11</v>
      </c>
      <c r="W42" s="16">
        <v>6</v>
      </c>
      <c r="X42" s="16">
        <v>0</v>
      </c>
      <c r="Y42" s="16">
        <v>198</v>
      </c>
      <c r="Z42" s="17">
        <f>IF(OR(M42="",M42=0),"",((13*S42+3*(T42+V42)-2*Y42)/M42+League!$Y$2))</f>
        <v>3.2809121578981908</v>
      </c>
      <c r="AA42" s="16">
        <f>VLOOKUP(B42,BPF!$A$2:$B$31,2,FALSE)</f>
        <v>97</v>
      </c>
      <c r="AB42" s="19">
        <f>IF(OR(E42="",E42=0),"",(E42/(League!$E$6*AA42/100)*100))</f>
        <v>109.5307228136587</v>
      </c>
      <c r="AC42" s="19">
        <f>IF(OR(Z42="",Z42=0),"",(Z42/(League!$Y$6*AA42/100)*100))</f>
        <v>89.818679807417467</v>
      </c>
      <c r="AD42" s="20">
        <f>IF(OR((C42+D42)="",(C42+D42)=0),"",(C42/(C42+D42)))</f>
        <v>0.6</v>
      </c>
      <c r="AE42" s="17">
        <f>IF(OR(F42="",F42=0),"",(M42/F42))</f>
        <v>6.1111111111111098</v>
      </c>
      <c r="AF42" s="34">
        <f>IF(OR(AA42="",AA42=0,M42="",M42=0),"",(Q42/M42*9)/(AA42/100))</f>
        <v>4.2327681690380858</v>
      </c>
      <c r="AG42" s="34">
        <f>(1.19*AE42-0.056*AF42+1.71)*League!$AC$7</f>
        <v>8.9128121885456721</v>
      </c>
      <c r="AH42" s="17">
        <f>IF(OR(League!$M$6="",League!$M$6=0),"",(League!$P$6/League!$M$6*9))</f>
        <v>4.0449330200482132</v>
      </c>
      <c r="AI42" s="17">
        <f>IF(OR(F42="",F42=0,League!$G$6="",League!$G$6=0,League!$M$8="",League!$M$8=0,AA42="",AA42=0),"",((Q42/F42/(AA42/100)+(League!$M$6/League!$G$6-M42/F42)*(League!$P$8/League!$M$8))/(League!$M$6/League!$G$6)*9))</f>
        <v>4.0840003153651265</v>
      </c>
      <c r="AJ42" s="17">
        <f>IF(AH42="","",((AH42+AI42)^0.287))</f>
        <v>1.8246502555748945</v>
      </c>
      <c r="AK42" s="21">
        <f>IF(AM42="","",(AM42*F42))</f>
        <v>16.355310981204983</v>
      </c>
      <c r="AL42" s="21">
        <f>IF(AK42="","",(F42-AK42))</f>
        <v>16.644689018795017</v>
      </c>
      <c r="AM42" s="20">
        <f>IF(AJ42="","",(AH42^AJ42/(AH42^AJ42+AI42^AJ42)))</f>
        <v>0.49561548427893887</v>
      </c>
      <c r="AN42" s="21">
        <f>IF(OR(AG42="",AG42=0),"",IF(((M42/AG42)&gt;=F42),AK42,IF(OR(AM42=1,(AK42-(F42-M42/AG42)*League!$AA$8)&gt;=AK42),AK42,IF(OR(AM42=0,(AK42-(F42-M42/AG42)*League!$AA$8)&lt;=0),0,(AK42-(F42-M42/AG42)*League!$AA$8)))))</f>
        <v>11.115003401991252</v>
      </c>
      <c r="AO42" s="21">
        <f>IF(OR(AG42="",AG42=0),"",IF((W42/AG42)&gt;=F42,AL42,(M42/AG42-AN42)))</f>
        <v>11.511600008976966</v>
      </c>
      <c r="AP42" s="20">
        <f>IF(OR(AN42="",(AN42+AO42)=0),"",(AN42/(AN42+AO42)))</f>
        <v>0.4912360551917071</v>
      </c>
      <c r="AQ42" s="22">
        <f>IF(AN42="","",((C42-AN42)+(AO42-D42)))</f>
        <v>5.3965966069857139</v>
      </c>
    </row>
    <row r="43" spans="1:43" x14ac:dyDescent="0.3">
      <c r="A43" s="15" t="s">
        <v>124</v>
      </c>
      <c r="B43" s="16" t="s">
        <v>94</v>
      </c>
      <c r="C43" s="16">
        <v>16</v>
      </c>
      <c r="D43" s="16">
        <v>6</v>
      </c>
      <c r="E43" s="17">
        <f>IF(OR(M43="",M43=0),"",(R43/M43*9))</f>
        <v>3.4890656063618297</v>
      </c>
      <c r="F43" s="16">
        <v>30</v>
      </c>
      <c r="G43" s="16">
        <v>30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8">
        <f>IF(N43="","",(INT(N43)+(N43-INT(N43))*10/3))</f>
        <v>167.66666666666663</v>
      </c>
      <c r="N43" s="16">
        <v>167.2</v>
      </c>
      <c r="O43" s="16">
        <v>714</v>
      </c>
      <c r="P43" s="16">
        <v>170</v>
      </c>
      <c r="Q43" s="16">
        <v>70</v>
      </c>
      <c r="R43" s="16">
        <v>65</v>
      </c>
      <c r="S43" s="16">
        <v>11</v>
      </c>
      <c r="T43" s="16">
        <v>62</v>
      </c>
      <c r="U43" s="16">
        <v>5</v>
      </c>
      <c r="V43" s="16">
        <v>5</v>
      </c>
      <c r="W43" s="16">
        <v>5</v>
      </c>
      <c r="X43" s="16">
        <v>0</v>
      </c>
      <c r="Y43" s="16">
        <v>112</v>
      </c>
      <c r="Z43" s="17">
        <f>IF(OR(M43="",M43=0),"",((13*S43+3*(T43+V43)-2*Y43)/M43+League!$Y$2))</f>
        <v>3.7635600720660762</v>
      </c>
      <c r="AA43" s="16">
        <f>VLOOKUP(B43,BPF!$A$2:$B$31,2,FALSE)</f>
        <v>115</v>
      </c>
      <c r="AB43" s="19">
        <f>IF(OR(E43="",E43=0),"",(E43/(League!$E$6*AA43/100)*100))</f>
        <v>81.155991348590703</v>
      </c>
      <c r="AC43" s="19">
        <f>IF(OR(Z43="",Z43=0),"",(Z43/(League!$Y$6*AA43/100)*100))</f>
        <v>86.905009380464975</v>
      </c>
      <c r="AD43" s="20">
        <f>IF(OR((C43+D43)="",(C43+D43)=0),"",(C43/(C43+D43)))</f>
        <v>0.72727272727272729</v>
      </c>
      <c r="AE43" s="17">
        <f>IF(OR(F43="",F43=0),"",(M43/F43))</f>
        <v>5.5888888888888877</v>
      </c>
      <c r="AF43" s="34">
        <f>IF(OR(AA43="",AA43=0,M43="",M43=0),"",(Q43/M43*9)/(AA43/100))</f>
        <v>3.2673524072953595</v>
      </c>
      <c r="AG43" s="34">
        <f>(1.19*AE43-0.056*AF43+1.71)*League!$AC$7</f>
        <v>8.3345556440116901</v>
      </c>
      <c r="AH43" s="17">
        <f>IF(OR(League!$M$6="",League!$M$6=0),"",(League!$P$6/League!$M$6*9))</f>
        <v>4.0449330200482132</v>
      </c>
      <c r="AI43" s="17">
        <f>IF(OR(F43="",F43=0,League!$G$6="",League!$G$6=0,League!$M$8="",League!$M$8=0,AA43="",AA43=0),"",((Q43/F43/(AA43/100)+(League!$M$6/League!$G$6-M43/F43)*(League!$P$8/League!$M$8))/(League!$M$6/League!$G$6)*9))</f>
        <v>3.4568872868719263</v>
      </c>
      <c r="AJ43" s="17">
        <f>IF(AH43="","",((AH43+AI43)^0.287))</f>
        <v>1.7830882190332533</v>
      </c>
      <c r="AK43" s="21">
        <f>IF(AM43="","",(AM43*F43))</f>
        <v>17.087245789492634</v>
      </c>
      <c r="AL43" s="21">
        <f>IF(AK43="","",(F43-AK43))</f>
        <v>12.912754210507366</v>
      </c>
      <c r="AM43" s="20">
        <f>IF(AJ43="","",(AH43^AJ43/(AH43^AJ43+AI43^AJ43)))</f>
        <v>0.56957485964975452</v>
      </c>
      <c r="AN43" s="21">
        <f>IF(OR(AG43="",AG43=0),"",IF(((M43/AG43)&gt;=F43),AK43,IF(OR(AM43=1,(AK43-(F43-M43/AG43)*League!$AA$8)&gt;=AK43),AK43,IF(OR(AM43=0,(AK43-(F43-M43/AG43)*League!$AA$8)&lt;=0),0,(AK43-(F43-M43/AG43)*League!$AA$8)))))</f>
        <v>12.094695751750063</v>
      </c>
      <c r="AO43" s="21">
        <f>IF(OR(AG43="",AG43=0),"",IF((W43/AG43)&gt;=F43,AL43,(M43/AG43-AN43)))</f>
        <v>8.022353534150831</v>
      </c>
      <c r="AP43" s="20">
        <f>IF(OR(AN43="",(AN43+AO43)=0),"",(AN43/(AN43+AO43)))</f>
        <v>0.60121619129435022</v>
      </c>
      <c r="AQ43" s="22">
        <f>IF(AN43="","",((C43-AN43)+(AO43-D43)))</f>
        <v>5.9276577824007681</v>
      </c>
    </row>
    <row r="44" spans="1:43" x14ac:dyDescent="0.3">
      <c r="A44" s="24" t="s">
        <v>121</v>
      </c>
      <c r="B44" s="25" t="s">
        <v>98</v>
      </c>
      <c r="C44" s="25">
        <v>19</v>
      </c>
      <c r="D44" s="25">
        <v>9</v>
      </c>
      <c r="E44" s="26">
        <f>IF(OR(M44="",M44=0),"",(R44/M44*9))</f>
        <v>3.2484375000000001</v>
      </c>
      <c r="F44" s="25">
        <v>32</v>
      </c>
      <c r="G44" s="25">
        <v>32</v>
      </c>
      <c r="H44" s="25">
        <v>4</v>
      </c>
      <c r="I44" s="25">
        <v>2</v>
      </c>
      <c r="J44" s="25">
        <v>0</v>
      </c>
      <c r="K44" s="25">
        <v>0</v>
      </c>
      <c r="L44" s="25">
        <v>0</v>
      </c>
      <c r="M44" s="27">
        <f>IF(N44="","",(INT(N44)+(N44-INT(N44))*10/3))</f>
        <v>213.33333333333331</v>
      </c>
      <c r="N44" s="25">
        <v>213.1</v>
      </c>
      <c r="O44" s="25">
        <v>865</v>
      </c>
      <c r="P44" s="25">
        <v>192</v>
      </c>
      <c r="Q44" s="25">
        <v>81</v>
      </c>
      <c r="R44" s="25">
        <v>77</v>
      </c>
      <c r="S44" s="25">
        <v>19</v>
      </c>
      <c r="T44" s="25">
        <v>40</v>
      </c>
      <c r="U44" s="25">
        <v>0</v>
      </c>
      <c r="V44" s="25">
        <v>7</v>
      </c>
      <c r="W44" s="25">
        <v>3</v>
      </c>
      <c r="X44" s="25">
        <v>0</v>
      </c>
      <c r="Y44" s="25">
        <v>161</v>
      </c>
      <c r="Z44" s="26">
        <f>IF(OR(M44="",M44=0),"",((13*S44+3*(T44+V44)-2*Y44)/M44+League!$Y$2))</f>
        <v>3.3572293066585215</v>
      </c>
      <c r="AA44" s="25">
        <f>VLOOKUP(B44,BPF!$A$2:$B$31,2,FALSE)</f>
        <v>100</v>
      </c>
      <c r="AB44" s="28">
        <f>IF(OR(E44="",E44=0),"",(E44/(League!$E$6*AA44/100)*100))</f>
        <v>86.892803030303028</v>
      </c>
      <c r="AC44" s="28">
        <f>IF(OR(Z44="",Z44=0),"",(Z44/(League!$Y$6*AA44/100)*100))</f>
        <v>89.150709599665873</v>
      </c>
      <c r="AD44" s="29">
        <f>IF(OR((C44+D44)="",(C44+D44)=0),"",(C44/(C44+D44)))</f>
        <v>0.6785714285714286</v>
      </c>
      <c r="AE44" s="26">
        <f>IF(OR(F44="",F44=0),"",(M44/F44))</f>
        <v>6.6666666666666661</v>
      </c>
      <c r="AF44" s="26">
        <f>IF(OR(AA44="",AA44=0,M44="",M44=0),"",(Q44/M44*9)/(AA44/100))</f>
        <v>3.4171875000000003</v>
      </c>
      <c r="AG44" s="26">
        <f>(1.19*AE44-0.056*AF44+1.71)*League!$AC$7</f>
        <v>9.63314322228522</v>
      </c>
      <c r="AH44" s="26">
        <f>IF(OR(League!$M$6="",League!$M$6=0),"",(League!$P$6/League!$M$6*9))</f>
        <v>4.0449330200482132</v>
      </c>
      <c r="AI44" s="26">
        <f>IF(OR(F44="",F44=0,League!$G$6="",League!$G$6=0,League!$M$8="",League!$M$8=0,AA44="",AA44=0),"",((Q44/F44/(AA44/100)+(League!$M$6/League!$G$6-M44/F44)*(League!$P$8/League!$M$8))/(League!$M$6/League!$G$6)*9))</f>
        <v>3.5079415732442962</v>
      </c>
      <c r="AJ44" s="26">
        <f>IF(AH44="","",((AH44+AI44)^0.287))</f>
        <v>1.7865625357347124</v>
      </c>
      <c r="AK44" s="30">
        <f>IF(AM44="","",(AM44*F44))</f>
        <v>18.024845661170016</v>
      </c>
      <c r="AL44" s="30">
        <f>IF(AK44="","",(F44-AK44))</f>
        <v>13.975154338829984</v>
      </c>
      <c r="AM44" s="29">
        <f>IF(AJ44="","",(AH44^AJ44/(AH44^AJ44+AI44^AJ44)))</f>
        <v>0.56327642691156299</v>
      </c>
      <c r="AN44" s="30">
        <f>IF(OR(AG44="",AG44=0),"",IF(((M44/AG44)&gt;=F44),AK44,IF(OR(AM44=1,(AK44-(F44-M44/AG44)*League!$AA$8)&gt;=AK44),AK44,IF(OR(AM44=0,(AK44-(F44-M44/AG44)*League!$AA$8)&lt;=0),0,(AK44-(F44-M44/AG44)*League!$AA$8)))))</f>
        <v>13.046802266031737</v>
      </c>
      <c r="AO44" s="30">
        <f>IF(OR(AG44="",AG44=0),"",IF((W44/AG44)&gt;=F44,AL44,(M44/AG44-AN44)))</f>
        <v>9.0989634939758659</v>
      </c>
      <c r="AP44" s="29">
        <f>IF(OR(AN44="",(AN44+AO44)=0),"",(AN44/(AN44+AO44)))</f>
        <v>0.58913303822587071</v>
      </c>
      <c r="AQ44" s="31">
        <f>IF(AN44="","",((C44-AN44)+(AO44-D44)))</f>
        <v>6.0521612279441293</v>
      </c>
    </row>
    <row r="45" spans="1:43" x14ac:dyDescent="0.3">
      <c r="AK45" s="14"/>
      <c r="AL45" s="14"/>
      <c r="AM45" s="14"/>
      <c r="AN45" s="9"/>
      <c r="AO45" s="9"/>
    </row>
  </sheetData>
  <autoFilter ref="A1:AQ44">
    <sortState ref="A2:AQ44">
      <sortCondition ref="AQ1:AQ44"/>
    </sortState>
  </autoFilter>
  <sortState ref="A2:AP44">
    <sortCondition descending="1" ref="AO1"/>
  </sortState>
  <phoneticPr fontId="18" type="noConversion"/>
  <conditionalFormatting sqref="AN2:AN44">
    <cfRule type="top10" dxfId="1" priority="2" rank="1"/>
  </conditionalFormatting>
  <conditionalFormatting sqref="AO2:AO44">
    <cfRule type="top10" dxfId="0" priority="1" rank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opLeftCell="M1" workbookViewId="0">
      <selection activeCell="N23" sqref="N23"/>
    </sheetView>
  </sheetViews>
  <sheetFormatPr defaultRowHeight="16.5" x14ac:dyDescent="0.3"/>
  <cols>
    <col min="27" max="28" width="9" style="1"/>
  </cols>
  <sheetData>
    <row r="1" spans="1:29" x14ac:dyDescent="0.3">
      <c r="A1" s="1" t="s">
        <v>75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76</v>
      </c>
      <c r="Z1" s="4" t="s">
        <v>77</v>
      </c>
      <c r="AA1" s="1" t="s">
        <v>186</v>
      </c>
    </row>
    <row r="2" spans="1:29" x14ac:dyDescent="0.3">
      <c r="A2" s="1">
        <v>2013</v>
      </c>
      <c r="B2" s="1" t="s">
        <v>78</v>
      </c>
      <c r="C2" s="1">
        <v>2431</v>
      </c>
      <c r="D2" s="1">
        <v>2431</v>
      </c>
      <c r="E2" s="5">
        <f>IF(OR(M2="",M2=0),"",(Q2/M2*9))</f>
        <v>3.8656841783750759</v>
      </c>
      <c r="F2" s="4">
        <v>19198</v>
      </c>
      <c r="G2" s="4">
        <v>4862</v>
      </c>
      <c r="H2" s="4">
        <v>124</v>
      </c>
      <c r="I2" s="4">
        <v>57</v>
      </c>
      <c r="J2" s="4">
        <v>1266</v>
      </c>
      <c r="K2" s="4">
        <v>2239</v>
      </c>
      <c r="L2" s="4">
        <v>579</v>
      </c>
      <c r="M2" s="2">
        <v>43653.333333333336</v>
      </c>
      <c r="N2" s="1">
        <v>184872</v>
      </c>
      <c r="O2" s="1">
        <v>42093</v>
      </c>
      <c r="P2" s="1">
        <v>20255</v>
      </c>
      <c r="Q2" s="1">
        <v>18750</v>
      </c>
      <c r="R2" s="1">
        <v>4661</v>
      </c>
      <c r="S2" s="1">
        <v>14640</v>
      </c>
      <c r="T2" s="1">
        <v>1018</v>
      </c>
      <c r="U2" s="1">
        <v>1536</v>
      </c>
      <c r="V2" s="1">
        <v>1736</v>
      </c>
      <c r="W2" s="1">
        <v>128</v>
      </c>
      <c r="X2" s="1">
        <v>36710</v>
      </c>
      <c r="Y2" s="5">
        <f>IF(OR(M2="",M2=0),"",((9*Q2+2*X2-13*R2-3*(S2+U2))/M2))</f>
        <v>3.0478543066585213</v>
      </c>
      <c r="Z2" s="5">
        <f t="shared" ref="Z2:Z8" si="0">IF(OR(C2="",C2=0),"",(M2/(C2+D2)))</f>
        <v>8.9784725078842733</v>
      </c>
      <c r="AA2" s="6">
        <f>IF(OR(C2="",(C2+D2)=0),"",(C2/(C2+D2)))</f>
        <v>0.5</v>
      </c>
      <c r="AB2" s="61"/>
    </row>
    <row r="3" spans="1:29" x14ac:dyDescent="0.3">
      <c r="A3" s="1">
        <v>2013</v>
      </c>
      <c r="B3" s="1" t="s">
        <v>79</v>
      </c>
      <c r="C3" s="4">
        <v>1220</v>
      </c>
      <c r="D3" s="4">
        <v>1212</v>
      </c>
      <c r="E3" s="5">
        <f t="shared" ref="E3:E8" si="1">IF(OR(M3="",M3=0),"",(Q3/M3*9))</f>
        <v>3.993167018251857</v>
      </c>
      <c r="F3" s="4">
        <v>9445</v>
      </c>
      <c r="G3" s="4">
        <v>2432</v>
      </c>
      <c r="H3" s="4">
        <v>64</v>
      </c>
      <c r="I3" s="4">
        <v>30</v>
      </c>
      <c r="J3" s="4">
        <v>637</v>
      </c>
      <c r="K3" s="4">
        <v>1116</v>
      </c>
      <c r="L3" s="4">
        <v>299</v>
      </c>
      <c r="M3" s="4">
        <v>21806</v>
      </c>
      <c r="N3" s="4">
        <v>92680</v>
      </c>
      <c r="O3" s="4">
        <v>21313</v>
      </c>
      <c r="P3" s="4">
        <v>10436</v>
      </c>
      <c r="Q3" s="4">
        <v>9675</v>
      </c>
      <c r="R3" s="4">
        <v>2509</v>
      </c>
      <c r="S3" s="4">
        <v>7421</v>
      </c>
      <c r="T3" s="4">
        <v>452</v>
      </c>
      <c r="U3" s="4">
        <v>736</v>
      </c>
      <c r="V3" s="4">
        <v>904</v>
      </c>
      <c r="W3" s="4">
        <v>61</v>
      </c>
      <c r="X3" s="4">
        <v>18536</v>
      </c>
      <c r="Y3" s="3">
        <f>IF(OR(M3="",M3=0),"",((13*R3+3*(S3+U3)-2*X3)/M3+$Y$2))</f>
        <v>3.9657668078049948</v>
      </c>
      <c r="Z3" s="5">
        <f t="shared" si="0"/>
        <v>8.9662828947368425</v>
      </c>
      <c r="AA3" s="6">
        <f t="shared" ref="AA3:AA8" si="2">IF(OR(C3="",(C3+D3)=0),"",(C3/(C3+D3)))</f>
        <v>0.50164473684210531</v>
      </c>
      <c r="AB3" s="5"/>
    </row>
    <row r="4" spans="1:29" x14ac:dyDescent="0.3">
      <c r="A4" s="1">
        <v>2013</v>
      </c>
      <c r="B4" s="1" t="s">
        <v>80</v>
      </c>
      <c r="C4" s="4">
        <v>838</v>
      </c>
      <c r="D4" s="4">
        <v>835</v>
      </c>
      <c r="E4" s="5">
        <f t="shared" si="1"/>
        <v>4.1513811640408651</v>
      </c>
      <c r="F4" s="4">
        <v>2432</v>
      </c>
      <c r="G4" s="4">
        <v>2432</v>
      </c>
      <c r="H4" s="4">
        <v>64</v>
      </c>
      <c r="I4" s="4">
        <v>30</v>
      </c>
      <c r="J4" s="4">
        <v>0</v>
      </c>
      <c r="K4" s="4">
        <v>0</v>
      </c>
      <c r="L4" s="4">
        <v>0</v>
      </c>
      <c r="M4" s="2">
        <v>14323.666666666666</v>
      </c>
      <c r="N4" s="4">
        <v>60934</v>
      </c>
      <c r="O4" s="4">
        <v>14486</v>
      </c>
      <c r="P4" s="4">
        <v>7115</v>
      </c>
      <c r="Q4" s="4">
        <v>6607</v>
      </c>
      <c r="R4" s="4">
        <v>1740</v>
      </c>
      <c r="S4" s="4">
        <v>4556</v>
      </c>
      <c r="T4" s="4">
        <v>138</v>
      </c>
      <c r="U4" s="4">
        <v>474</v>
      </c>
      <c r="V4" s="4">
        <v>499</v>
      </c>
      <c r="W4" s="4">
        <v>41</v>
      </c>
      <c r="X4" s="4">
        <v>11458</v>
      </c>
      <c r="Y4" s="3">
        <f t="shared" ref="Y4:Y8" si="3">IF(OR(M4="",M4=0),"",((13*R4+3*(S4+U4)-2*X4)/M4+$Y$2))</f>
        <v>4.0806904054228044</v>
      </c>
      <c r="Z4" s="5">
        <f t="shared" si="0"/>
        <v>8.5616656704522818</v>
      </c>
      <c r="AA4" s="6">
        <f t="shared" si="2"/>
        <v>0.50089659294680211</v>
      </c>
      <c r="AB4" s="5">
        <f>IF(OR(G4="",G4=0,Q4="",Q4=0),"",(Z4/(1.19*(M4/G4)-0.056*(Y4*P4/Q4)+1.71)))</f>
        <v>1.0105106514054729</v>
      </c>
      <c r="AC4" s="5">
        <f>IF(OR(G4="",G4=0,M4="",M4=0),"",(Z4/(1.19*(M4/G4)-0.056*(P4/M4*9)+1.71)))</f>
        <v>1.0110193533138045</v>
      </c>
    </row>
    <row r="5" spans="1:29" x14ac:dyDescent="0.3">
      <c r="A5" s="1">
        <v>2013</v>
      </c>
      <c r="B5" s="1" t="s">
        <v>81</v>
      </c>
      <c r="C5" s="4">
        <v>382</v>
      </c>
      <c r="D5" s="4">
        <v>377</v>
      </c>
      <c r="E5" s="5">
        <f t="shared" si="1"/>
        <v>3.6902926894462516</v>
      </c>
      <c r="F5" s="4">
        <v>7013</v>
      </c>
      <c r="G5" s="4">
        <v>0</v>
      </c>
      <c r="H5" s="4">
        <v>0</v>
      </c>
      <c r="I5" s="4">
        <v>0</v>
      </c>
      <c r="J5" s="4">
        <v>637</v>
      </c>
      <c r="K5" s="4">
        <v>1116</v>
      </c>
      <c r="L5" s="4">
        <v>299</v>
      </c>
      <c r="M5" s="2">
        <v>7482.333333333333</v>
      </c>
      <c r="N5" s="4">
        <v>31746</v>
      </c>
      <c r="O5" s="4">
        <v>6827</v>
      </c>
      <c r="P5" s="4">
        <v>3321</v>
      </c>
      <c r="Q5" s="4">
        <v>3068</v>
      </c>
      <c r="R5" s="4">
        <v>769</v>
      </c>
      <c r="S5" s="4">
        <v>2865</v>
      </c>
      <c r="T5" s="4">
        <v>314</v>
      </c>
      <c r="U5" s="4">
        <v>262</v>
      </c>
      <c r="V5" s="4">
        <v>405</v>
      </c>
      <c r="W5" s="4">
        <v>20</v>
      </c>
      <c r="X5" s="4">
        <v>7078</v>
      </c>
      <c r="Y5" s="3">
        <f t="shared" si="3"/>
        <v>3.7457649405962412</v>
      </c>
      <c r="Z5" s="5">
        <f t="shared" si="0"/>
        <v>9.85814668423364</v>
      </c>
      <c r="AA5" s="6">
        <f t="shared" si="2"/>
        <v>0.50329380764163378</v>
      </c>
      <c r="AC5" s="1"/>
    </row>
    <row r="6" spans="1:29" x14ac:dyDescent="0.3">
      <c r="A6" s="1">
        <v>2013</v>
      </c>
      <c r="B6" s="1" t="s">
        <v>82</v>
      </c>
      <c r="C6" s="4">
        <v>1211</v>
      </c>
      <c r="D6" s="4">
        <v>1219</v>
      </c>
      <c r="E6" s="5">
        <f t="shared" si="1"/>
        <v>3.738442525403558</v>
      </c>
      <c r="F6" s="4">
        <v>9753</v>
      </c>
      <c r="G6" s="4">
        <v>2430</v>
      </c>
      <c r="H6" s="4">
        <v>60</v>
      </c>
      <c r="I6" s="4">
        <v>27</v>
      </c>
      <c r="J6" s="4">
        <v>629</v>
      </c>
      <c r="K6" s="4">
        <v>1123</v>
      </c>
      <c r="L6" s="4">
        <v>280</v>
      </c>
      <c r="M6" s="2">
        <v>21847.333333333332</v>
      </c>
      <c r="N6" s="4">
        <v>92192</v>
      </c>
      <c r="O6" s="4">
        <v>20780</v>
      </c>
      <c r="P6" s="4">
        <v>9819</v>
      </c>
      <c r="Q6" s="4">
        <v>9075</v>
      </c>
      <c r="R6" s="4">
        <v>2152</v>
      </c>
      <c r="S6" s="4">
        <v>7219</v>
      </c>
      <c r="T6" s="4">
        <v>566</v>
      </c>
      <c r="U6" s="4">
        <v>800</v>
      </c>
      <c r="V6" s="4">
        <v>832</v>
      </c>
      <c r="W6" s="4">
        <v>67</v>
      </c>
      <c r="X6" s="4">
        <v>18174</v>
      </c>
      <c r="Y6" s="3">
        <f t="shared" si="3"/>
        <v>3.7657908969365108</v>
      </c>
      <c r="Z6" s="5">
        <f t="shared" si="0"/>
        <v>8.9906721536351153</v>
      </c>
      <c r="AA6" s="6">
        <f t="shared" si="2"/>
        <v>0.49835390946502056</v>
      </c>
      <c r="AC6" s="1"/>
    </row>
    <row r="7" spans="1:29" x14ac:dyDescent="0.3">
      <c r="A7" s="1">
        <v>2013</v>
      </c>
      <c r="B7" s="1" t="s">
        <v>83</v>
      </c>
      <c r="C7" s="4">
        <v>820</v>
      </c>
      <c r="D7" s="4">
        <v>836</v>
      </c>
      <c r="E7" s="5">
        <f t="shared" si="1"/>
        <v>3.8645780110548564</v>
      </c>
      <c r="F7" s="4">
        <v>2430</v>
      </c>
      <c r="G7" s="4">
        <v>2430</v>
      </c>
      <c r="H7" s="4">
        <v>60</v>
      </c>
      <c r="I7" s="4">
        <v>27</v>
      </c>
      <c r="J7" s="4">
        <v>0</v>
      </c>
      <c r="K7" s="4">
        <v>0</v>
      </c>
      <c r="L7" s="4">
        <v>0</v>
      </c>
      <c r="M7" s="2">
        <v>14352.666666666666</v>
      </c>
      <c r="N7" s="4">
        <v>60500</v>
      </c>
      <c r="O7" s="4">
        <v>13924</v>
      </c>
      <c r="P7" s="4">
        <v>6681</v>
      </c>
      <c r="Q7" s="4">
        <v>6163</v>
      </c>
      <c r="R7" s="4">
        <v>1469</v>
      </c>
      <c r="S7" s="4">
        <v>4470</v>
      </c>
      <c r="T7" s="4">
        <v>225</v>
      </c>
      <c r="U7" s="4">
        <v>512</v>
      </c>
      <c r="V7" s="4">
        <v>467</v>
      </c>
      <c r="W7" s="4">
        <v>34</v>
      </c>
      <c r="X7" s="4">
        <v>11464</v>
      </c>
      <c r="Y7" s="3">
        <f t="shared" si="3"/>
        <v>3.8222748556854151</v>
      </c>
      <c r="Z7" s="5">
        <f t="shared" si="0"/>
        <v>8.6670692431561989</v>
      </c>
      <c r="AA7" s="6">
        <f t="shared" si="2"/>
        <v>0.49516908212560384</v>
      </c>
      <c r="AB7" s="5">
        <f>IF(OR(G7="",G7=0,Q7="",Q7=0),"",(Z7/(1.19*(M7/G7)-0.056*(Y7*P7/Q7)+1.71)))</f>
        <v>1.0188600047848753</v>
      </c>
      <c r="AC7" s="5">
        <f>IF(OR(G7="",G7=0,M7="",M7=0),"",(Z7/(1.19*(M7/G7)-0.056*(P7/M7*9)+1.71)))</f>
        <v>1.0191676838774157</v>
      </c>
    </row>
    <row r="8" spans="1:29" x14ac:dyDescent="0.3">
      <c r="A8" s="1">
        <v>2013</v>
      </c>
      <c r="B8" s="1" t="s">
        <v>84</v>
      </c>
      <c r="C8" s="4">
        <v>391</v>
      </c>
      <c r="D8" s="4">
        <v>383</v>
      </c>
      <c r="E8" s="5">
        <f t="shared" si="1"/>
        <v>3.4968866749688665</v>
      </c>
      <c r="F8" s="4">
        <v>7323</v>
      </c>
      <c r="G8" s="4">
        <v>0</v>
      </c>
      <c r="H8" s="4">
        <v>0</v>
      </c>
      <c r="I8" s="4">
        <v>0</v>
      </c>
      <c r="J8" s="4">
        <v>629</v>
      </c>
      <c r="K8" s="4">
        <v>1123</v>
      </c>
      <c r="L8" s="4">
        <v>280</v>
      </c>
      <c r="M8" s="2">
        <v>7494.666666666667</v>
      </c>
      <c r="N8" s="4">
        <v>31692</v>
      </c>
      <c r="O8" s="4">
        <v>6856</v>
      </c>
      <c r="P8" s="4">
        <v>3138</v>
      </c>
      <c r="Q8" s="4">
        <v>2912</v>
      </c>
      <c r="R8" s="4">
        <v>683</v>
      </c>
      <c r="S8" s="4">
        <v>2749</v>
      </c>
      <c r="T8" s="4">
        <v>341</v>
      </c>
      <c r="U8" s="4">
        <v>288</v>
      </c>
      <c r="V8" s="4">
        <v>365</v>
      </c>
      <c r="W8" s="4">
        <v>33</v>
      </c>
      <c r="X8" s="4">
        <v>6710</v>
      </c>
      <c r="Y8" s="3">
        <f t="shared" si="3"/>
        <v>3.6576212520419049</v>
      </c>
      <c r="Z8" s="5">
        <f t="shared" si="0"/>
        <v>9.6830318690783805</v>
      </c>
      <c r="AA8" s="6">
        <f t="shared" si="2"/>
        <v>0.5051679586563308</v>
      </c>
    </row>
    <row r="9" spans="1:29" x14ac:dyDescent="0.3">
      <c r="C9" s="4"/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E23" sqref="E23"/>
    </sheetView>
  </sheetViews>
  <sheetFormatPr defaultRowHeight="16.5" x14ac:dyDescent="0.3"/>
  <cols>
    <col min="1" max="2" width="9" style="1"/>
  </cols>
  <sheetData>
    <row r="1" spans="1:2" x14ac:dyDescent="0.3">
      <c r="A1" s="1" t="s">
        <v>0</v>
      </c>
      <c r="B1" s="1">
        <v>2013</v>
      </c>
    </row>
    <row r="2" spans="1:2" x14ac:dyDescent="0.3">
      <c r="A2" s="1" t="s">
        <v>46</v>
      </c>
      <c r="B2" s="1">
        <v>96</v>
      </c>
    </row>
    <row r="3" spans="1:2" x14ac:dyDescent="0.3">
      <c r="A3" s="1" t="s">
        <v>53</v>
      </c>
      <c r="B3" s="1">
        <v>103</v>
      </c>
    </row>
    <row r="4" spans="1:2" x14ac:dyDescent="0.3">
      <c r="A4" s="1" t="s">
        <v>43</v>
      </c>
      <c r="B4" s="1">
        <v>104</v>
      </c>
    </row>
    <row r="5" spans="1:2" x14ac:dyDescent="0.3">
      <c r="A5" s="1" t="s">
        <v>32</v>
      </c>
      <c r="B5" s="1">
        <v>104</v>
      </c>
    </row>
    <row r="6" spans="1:2" x14ac:dyDescent="0.3">
      <c r="A6" s="1" t="s">
        <v>47</v>
      </c>
      <c r="B6" s="1">
        <v>96</v>
      </c>
    </row>
    <row r="7" spans="1:2" x14ac:dyDescent="0.3">
      <c r="A7" s="1" t="s">
        <v>28</v>
      </c>
      <c r="B7" s="1">
        <v>102</v>
      </c>
    </row>
    <row r="8" spans="1:2" x14ac:dyDescent="0.3">
      <c r="A8" s="1" t="s">
        <v>41</v>
      </c>
      <c r="B8" s="1">
        <v>102</v>
      </c>
    </row>
    <row r="9" spans="1:2" x14ac:dyDescent="0.3">
      <c r="A9" s="1" t="s">
        <v>67</v>
      </c>
      <c r="B9" s="1">
        <v>100</v>
      </c>
    </row>
    <row r="10" spans="1:2" x14ac:dyDescent="0.3">
      <c r="A10" s="1" t="s">
        <v>26</v>
      </c>
      <c r="B10" s="1">
        <v>103</v>
      </c>
    </row>
    <row r="11" spans="1:2" x14ac:dyDescent="0.3">
      <c r="A11" s="1" t="s">
        <v>34</v>
      </c>
      <c r="B11" s="1">
        <v>97</v>
      </c>
    </row>
    <row r="12" spans="1:2" x14ac:dyDescent="0.3">
      <c r="A12" s="1" t="s">
        <v>24</v>
      </c>
      <c r="B12" s="1">
        <v>100</v>
      </c>
    </row>
    <row r="13" spans="1:2" x14ac:dyDescent="0.3">
      <c r="A13" s="1" t="s">
        <v>39</v>
      </c>
      <c r="B13" s="1">
        <v>95</v>
      </c>
    </row>
    <row r="14" spans="1:2" x14ac:dyDescent="0.3">
      <c r="A14" s="1" t="s">
        <v>30</v>
      </c>
      <c r="B14" s="1">
        <v>106</v>
      </c>
    </row>
    <row r="15" spans="1:2" x14ac:dyDescent="0.3">
      <c r="A15" s="1" t="s">
        <v>64</v>
      </c>
      <c r="B15" s="1">
        <v>102</v>
      </c>
    </row>
    <row r="16" spans="1:2" x14ac:dyDescent="0.3">
      <c r="A16" s="1" t="s">
        <v>90</v>
      </c>
      <c r="B16" s="1">
        <v>104</v>
      </c>
    </row>
    <row r="17" spans="1:2" x14ac:dyDescent="0.3">
      <c r="A17" s="1" t="s">
        <v>91</v>
      </c>
      <c r="B17" s="1">
        <v>99</v>
      </c>
    </row>
    <row r="18" spans="1:2" x14ac:dyDescent="0.3">
      <c r="A18" s="1" t="s">
        <v>92</v>
      </c>
      <c r="B18" s="1">
        <v>104</v>
      </c>
    </row>
    <row r="19" spans="1:2" x14ac:dyDescent="0.3">
      <c r="A19" s="1" t="s">
        <v>93</v>
      </c>
      <c r="B19" s="1">
        <v>101</v>
      </c>
    </row>
    <row r="20" spans="1:2" x14ac:dyDescent="0.3">
      <c r="A20" s="1" t="s">
        <v>94</v>
      </c>
      <c r="B20" s="1">
        <v>115</v>
      </c>
    </row>
    <row r="21" spans="1:2" x14ac:dyDescent="0.3">
      <c r="A21" s="1" t="s">
        <v>95</v>
      </c>
      <c r="B21" s="1">
        <v>101</v>
      </c>
    </row>
    <row r="22" spans="1:2" x14ac:dyDescent="0.3">
      <c r="A22" s="1" t="s">
        <v>73</v>
      </c>
      <c r="B22" s="1">
        <v>99</v>
      </c>
    </row>
    <row r="23" spans="1:2" x14ac:dyDescent="0.3">
      <c r="A23" s="1" t="s">
        <v>96</v>
      </c>
      <c r="B23" s="1">
        <v>95</v>
      </c>
    </row>
    <row r="24" spans="1:2" x14ac:dyDescent="0.3">
      <c r="A24" s="1" t="s">
        <v>97</v>
      </c>
      <c r="B24" s="1">
        <v>101</v>
      </c>
    </row>
    <row r="25" spans="1:2" x14ac:dyDescent="0.3">
      <c r="A25" s="1" t="s">
        <v>98</v>
      </c>
      <c r="B25" s="1">
        <v>100</v>
      </c>
    </row>
    <row r="26" spans="1:2" x14ac:dyDescent="0.3">
      <c r="A26" s="1" t="s">
        <v>99</v>
      </c>
      <c r="B26" s="1">
        <v>96</v>
      </c>
    </row>
    <row r="27" spans="1:2" x14ac:dyDescent="0.3">
      <c r="A27" s="1" t="s">
        <v>100</v>
      </c>
      <c r="B27" s="1">
        <v>101</v>
      </c>
    </row>
    <row r="28" spans="1:2" x14ac:dyDescent="0.3">
      <c r="A28" s="1" t="s">
        <v>101</v>
      </c>
      <c r="B28" s="1">
        <v>97</v>
      </c>
    </row>
    <row r="29" spans="1:2" x14ac:dyDescent="0.3">
      <c r="A29" s="1" t="s">
        <v>102</v>
      </c>
      <c r="B29" s="1">
        <v>97</v>
      </c>
    </row>
    <row r="30" spans="1:2" x14ac:dyDescent="0.3">
      <c r="A30" s="1" t="s">
        <v>103</v>
      </c>
      <c r="B30" s="1">
        <v>95</v>
      </c>
    </row>
    <row r="31" spans="1:2" x14ac:dyDescent="0.3">
      <c r="A31" s="1" t="s">
        <v>104</v>
      </c>
      <c r="B31" s="1">
        <v>94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AL_FIP</vt:lpstr>
      <vt:lpstr>NL_FIP</vt:lpstr>
      <vt:lpstr>AL_RA</vt:lpstr>
      <vt:lpstr>NL_RA</vt:lpstr>
      <vt:lpstr>League</vt:lpstr>
      <vt:lpstr>BPF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염동녘</dc:creator>
  <cp:lastModifiedBy>염동녘</cp:lastModifiedBy>
  <dcterms:created xsi:type="dcterms:W3CDTF">2013-08-14T05:40:04Z</dcterms:created>
  <dcterms:modified xsi:type="dcterms:W3CDTF">2014-01-18T05:59:02Z</dcterms:modified>
</cp:coreProperties>
</file>